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teu\Desktop\"/>
    </mc:Choice>
  </mc:AlternateContent>
  <xr:revisionPtr revIDLastSave="0" documentId="13_ncr:1_{4EF136A8-6E9D-45C7-AA87-33223FFC7663}" xr6:coauthVersionLast="44" xr6:coauthVersionMax="44" xr10:uidLastSave="{00000000-0000-0000-0000-000000000000}"/>
  <bookViews>
    <workbookView xWindow="-120" yWindow="-120" windowWidth="20730" windowHeight="11160" tabRatio="646" activeTab="1" xr2:uid="{00000000-000D-0000-FFFF-FFFF00000000}"/>
  </bookViews>
  <sheets>
    <sheet name="Particle standard curve" sheetId="6" r:id="rId1"/>
    <sheet name="Fluorescein standard curve" sheetId="2" r:id="rId2"/>
    <sheet name="Raw Plate Reader Measurements" sheetId="5" r:id="rId3"/>
    <sheet name="Fluorescence per Particle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2" l="1"/>
  <c r="T27" i="6" l="1"/>
  <c r="M7" i="6" l="1"/>
  <c r="L7" i="6"/>
  <c r="K7" i="6"/>
  <c r="J7" i="6"/>
  <c r="I7" i="6"/>
  <c r="H7" i="6"/>
  <c r="G7" i="6"/>
  <c r="F7" i="6"/>
  <c r="E7" i="6"/>
  <c r="D7" i="6"/>
  <c r="C7" i="6"/>
  <c r="B7" i="6"/>
  <c r="M6" i="6"/>
  <c r="L6" i="6"/>
  <c r="K6" i="6"/>
  <c r="J6" i="6"/>
  <c r="I6" i="6"/>
  <c r="H6" i="6"/>
  <c r="G6" i="6"/>
  <c r="F6" i="6"/>
  <c r="E6" i="6"/>
  <c r="D6" i="6"/>
  <c r="C6" i="6"/>
  <c r="B6" i="6"/>
  <c r="M7" i="2"/>
  <c r="L7" i="2"/>
  <c r="K7" i="2"/>
  <c r="J7" i="2"/>
  <c r="I7" i="2"/>
  <c r="H7" i="2"/>
  <c r="G7" i="2"/>
  <c r="F7" i="2"/>
  <c r="E7" i="2"/>
  <c r="D7" i="2"/>
  <c r="C7" i="2"/>
  <c r="B7" i="2"/>
  <c r="M6" i="2"/>
  <c r="L6" i="2"/>
  <c r="K6" i="2"/>
  <c r="J6" i="2"/>
  <c r="I6" i="2"/>
  <c r="H6" i="2"/>
  <c r="G6" i="2"/>
  <c r="F6" i="2"/>
  <c r="E6" i="2"/>
  <c r="D6" i="2"/>
  <c r="C6" i="2"/>
  <c r="B6" i="2"/>
  <c r="M52" i="7"/>
  <c r="L52" i="7"/>
  <c r="K52" i="7"/>
  <c r="J52" i="7"/>
  <c r="I52" i="7"/>
  <c r="H52" i="7"/>
  <c r="G52" i="7"/>
  <c r="F52" i="7"/>
  <c r="E52" i="7"/>
  <c r="D52" i="7"/>
  <c r="C52" i="7"/>
  <c r="B52" i="7"/>
  <c r="M51" i="7"/>
  <c r="L51" i="7"/>
  <c r="K51" i="7"/>
  <c r="J51" i="7"/>
  <c r="I51" i="7"/>
  <c r="H51" i="7"/>
  <c r="G51" i="7"/>
  <c r="F51" i="7"/>
  <c r="E51" i="7"/>
  <c r="D51" i="7"/>
  <c r="C51" i="7"/>
  <c r="B51" i="7"/>
  <c r="M50" i="7"/>
  <c r="L50" i="7"/>
  <c r="K50" i="7"/>
  <c r="J50" i="7"/>
  <c r="I50" i="7"/>
  <c r="H50" i="7"/>
  <c r="G50" i="7"/>
  <c r="F50" i="7"/>
  <c r="E50" i="7"/>
  <c r="D50" i="7"/>
  <c r="C50" i="7"/>
  <c r="B50" i="7"/>
  <c r="M49" i="7"/>
  <c r="L49" i="7"/>
  <c r="K49" i="7"/>
  <c r="J49" i="7"/>
  <c r="I49" i="7"/>
  <c r="H49" i="7"/>
  <c r="G49" i="7"/>
  <c r="F49" i="7"/>
  <c r="E49" i="7"/>
  <c r="D49" i="7"/>
  <c r="C49" i="7"/>
  <c r="B49" i="7"/>
  <c r="H6" i="5"/>
  <c r="H5" i="5"/>
  <c r="E8" i="2" l="1"/>
  <c r="L8" i="6"/>
  <c r="D8" i="6"/>
  <c r="E8" i="6"/>
  <c r="B8" i="2"/>
  <c r="D7" i="7"/>
  <c r="F8" i="2"/>
  <c r="G8" i="2"/>
  <c r="H8" i="2"/>
  <c r="I8" i="2"/>
  <c r="J8" i="2"/>
  <c r="D8" i="2"/>
  <c r="K8" i="2"/>
  <c r="C8" i="2"/>
  <c r="L8" i="2"/>
  <c r="G8" i="6"/>
  <c r="H8" i="6"/>
  <c r="I8" i="6"/>
  <c r="F8" i="6"/>
  <c r="J8" i="6"/>
  <c r="B8" i="6"/>
  <c r="K8" i="6"/>
  <c r="C8" i="6"/>
  <c r="T23" i="6"/>
  <c r="T24" i="6" s="1"/>
  <c r="T26" i="6" s="1"/>
  <c r="H8" i="5"/>
  <c r="H7" i="5"/>
  <c r="D5" i="7" l="1"/>
  <c r="D4" i="7"/>
  <c r="T22" i="2"/>
  <c r="M46" i="7" l="1"/>
  <c r="L48" i="7"/>
  <c r="H48" i="7"/>
  <c r="D48" i="7"/>
  <c r="K47" i="7"/>
  <c r="G47" i="7"/>
  <c r="C47" i="7"/>
  <c r="J46" i="7"/>
  <c r="F46" i="7"/>
  <c r="B46" i="7"/>
  <c r="J45" i="7"/>
  <c r="F45" i="7"/>
  <c r="B45" i="7"/>
  <c r="G48" i="7"/>
  <c r="C48" i="7"/>
  <c r="J47" i="7"/>
  <c r="F47" i="7"/>
  <c r="B47" i="7"/>
  <c r="I46" i="7"/>
  <c r="E46" i="7"/>
  <c r="M45" i="7"/>
  <c r="I45" i="7"/>
  <c r="E45" i="7"/>
  <c r="J48" i="7"/>
  <c r="F48" i="7"/>
  <c r="B48" i="7"/>
  <c r="I47" i="7"/>
  <c r="E47" i="7"/>
  <c r="L46" i="7"/>
  <c r="H46" i="7"/>
  <c r="D46" i="7"/>
  <c r="L45" i="7"/>
  <c r="H45" i="7"/>
  <c r="D45" i="7"/>
  <c r="I48" i="7"/>
  <c r="E48" i="7"/>
  <c r="L47" i="7"/>
  <c r="H47" i="7"/>
  <c r="D47" i="7"/>
  <c r="K46" i="7"/>
  <c r="G46" i="7"/>
  <c r="C46" i="7"/>
  <c r="K45" i="7"/>
  <c r="G45" i="7"/>
  <c r="C45" i="7"/>
  <c r="K48" i="7"/>
  <c r="J41" i="7"/>
  <c r="F41" i="7"/>
  <c r="B41" i="7"/>
  <c r="J40" i="7"/>
  <c r="F40" i="7"/>
  <c r="B40" i="7"/>
  <c r="J39" i="7"/>
  <c r="F39" i="7"/>
  <c r="B39" i="7"/>
  <c r="J38" i="7"/>
  <c r="F38" i="7"/>
  <c r="B38" i="7"/>
  <c r="J37" i="7"/>
  <c r="F37" i="7"/>
  <c r="B37" i="7"/>
  <c r="I36" i="7"/>
  <c r="E36" i="7"/>
  <c r="L35" i="7"/>
  <c r="H35" i="7"/>
  <c r="D35" i="7"/>
  <c r="J34" i="7"/>
  <c r="F34" i="7"/>
  <c r="B34" i="7"/>
  <c r="C35" i="7"/>
  <c r="E34" i="7"/>
  <c r="G41" i="7"/>
  <c r="K40" i="7"/>
  <c r="C40" i="7"/>
  <c r="C39" i="7"/>
  <c r="K37" i="7"/>
  <c r="J36" i="7"/>
  <c r="B36" i="7"/>
  <c r="E35" i="7"/>
  <c r="C34" i="7"/>
  <c r="M41" i="7"/>
  <c r="I41" i="7"/>
  <c r="E41" i="7"/>
  <c r="M40" i="7"/>
  <c r="I40" i="7"/>
  <c r="E40" i="7"/>
  <c r="M39" i="7"/>
  <c r="I39" i="7"/>
  <c r="E39" i="7"/>
  <c r="M38" i="7"/>
  <c r="I38" i="7"/>
  <c r="E38" i="7"/>
  <c r="M37" i="7"/>
  <c r="I37" i="7"/>
  <c r="E37" i="7"/>
  <c r="L36" i="7"/>
  <c r="H36" i="7"/>
  <c r="D36" i="7"/>
  <c r="K35" i="7"/>
  <c r="G35" i="7"/>
  <c r="I34" i="7"/>
  <c r="B35" i="7"/>
  <c r="K41" i="7"/>
  <c r="G39" i="7"/>
  <c r="G38" i="7"/>
  <c r="G37" i="7"/>
  <c r="F36" i="7"/>
  <c r="K34" i="7"/>
  <c r="L41" i="7"/>
  <c r="H41" i="7"/>
  <c r="D41" i="7"/>
  <c r="L40" i="7"/>
  <c r="H40" i="7"/>
  <c r="D40" i="7"/>
  <c r="L39" i="7"/>
  <c r="H39" i="7"/>
  <c r="D39" i="7"/>
  <c r="L38" i="7"/>
  <c r="H38" i="7"/>
  <c r="D38" i="7"/>
  <c r="L37" i="7"/>
  <c r="H37" i="7"/>
  <c r="D37" i="7"/>
  <c r="K36" i="7"/>
  <c r="G36" i="7"/>
  <c r="C36" i="7"/>
  <c r="J35" i="7"/>
  <c r="F35" i="7"/>
  <c r="L34" i="7"/>
  <c r="H34" i="7"/>
  <c r="D34" i="7"/>
  <c r="C41" i="7"/>
  <c r="G40" i="7"/>
  <c r="K39" i="7"/>
  <c r="K38" i="7"/>
  <c r="C38" i="7"/>
  <c r="C37" i="7"/>
  <c r="I35" i="7"/>
  <c r="G34" i="7"/>
  <c r="M36" i="7"/>
  <c r="M48" i="7"/>
  <c r="M47" i="7"/>
  <c r="M35" i="7"/>
  <c r="M34" i="7"/>
  <c r="T29" i="6"/>
  <c r="T24" i="2"/>
  <c r="T25" i="2" s="1"/>
  <c r="T26" i="2" s="1"/>
  <c r="T28" i="6" l="1"/>
  <c r="T30" i="6" s="1"/>
  <c r="B1" i="6" s="1"/>
  <c r="B28" i="2"/>
  <c r="L29" i="6"/>
  <c r="E29" i="6"/>
  <c r="D29" i="6"/>
  <c r="L28" i="2"/>
  <c r="F29" i="6" l="1"/>
  <c r="G29" i="6"/>
  <c r="I29" i="6"/>
  <c r="B29" i="6"/>
  <c r="J29" i="6"/>
  <c r="H29" i="6"/>
  <c r="C29" i="6"/>
  <c r="C30" i="6" s="1"/>
  <c r="D2" i="7" s="1"/>
  <c r="K29" i="6"/>
  <c r="C1" i="6"/>
  <c r="D1" i="6" s="1"/>
  <c r="F28" i="2"/>
  <c r="G28" i="2"/>
  <c r="L29" i="2"/>
  <c r="K28" i="2"/>
  <c r="J28" i="2"/>
  <c r="B29" i="2"/>
  <c r="C29" i="2"/>
  <c r="H29" i="2"/>
  <c r="G29" i="2"/>
  <c r="C28" i="2"/>
  <c r="J29" i="2"/>
  <c r="K29" i="2"/>
  <c r="D28" i="2"/>
  <c r="F29" i="2"/>
  <c r="E28" i="2"/>
  <c r="H28" i="2"/>
  <c r="D29" i="2"/>
  <c r="I29" i="2"/>
  <c r="E29" i="2"/>
  <c r="I28" i="2"/>
  <c r="C31" i="2" l="1"/>
  <c r="D3" i="7" s="1"/>
  <c r="E1" i="6"/>
  <c r="D28" i="6"/>
  <c r="B28" i="6"/>
  <c r="C28" i="6"/>
  <c r="D6" i="7" l="1"/>
  <c r="F1" i="6"/>
  <c r="E28" i="6"/>
  <c r="B23" i="7" l="1"/>
  <c r="M30" i="7"/>
  <c r="E30" i="7"/>
  <c r="I29" i="7"/>
  <c r="M28" i="7"/>
  <c r="E28" i="7"/>
  <c r="I27" i="7"/>
  <c r="M26" i="7"/>
  <c r="E26" i="7"/>
  <c r="I25" i="7"/>
  <c r="M24" i="7"/>
  <c r="E24" i="7"/>
  <c r="I23" i="7"/>
  <c r="J30" i="7"/>
  <c r="F27" i="7"/>
  <c r="F25" i="7"/>
  <c r="F23" i="7"/>
  <c r="H26" i="7"/>
  <c r="L23" i="7"/>
  <c r="C29" i="7"/>
  <c r="G26" i="7"/>
  <c r="K23" i="7"/>
  <c r="J29" i="7"/>
  <c r="F26" i="7"/>
  <c r="L30" i="7"/>
  <c r="D30" i="7"/>
  <c r="H29" i="7"/>
  <c r="L28" i="7"/>
  <c r="D28" i="7"/>
  <c r="H27" i="7"/>
  <c r="L26" i="7"/>
  <c r="D26" i="7"/>
  <c r="H25" i="7"/>
  <c r="L24" i="7"/>
  <c r="D24" i="7"/>
  <c r="H23" i="7"/>
  <c r="F29" i="7"/>
  <c r="B28" i="7"/>
  <c r="B26" i="7"/>
  <c r="B24" i="7"/>
  <c r="L27" i="7"/>
  <c r="D25" i="7"/>
  <c r="G30" i="7"/>
  <c r="C27" i="7"/>
  <c r="G24" i="7"/>
  <c r="B29" i="7"/>
  <c r="J25" i="7"/>
  <c r="K30" i="7"/>
  <c r="C30" i="7"/>
  <c r="G29" i="7"/>
  <c r="K28" i="7"/>
  <c r="C28" i="7"/>
  <c r="G27" i="7"/>
  <c r="K26" i="7"/>
  <c r="C26" i="7"/>
  <c r="G25" i="7"/>
  <c r="K24" i="7"/>
  <c r="C24" i="7"/>
  <c r="G23" i="7"/>
  <c r="B30" i="7"/>
  <c r="J28" i="7"/>
  <c r="J26" i="7"/>
  <c r="J24" i="7"/>
  <c r="H28" i="7"/>
  <c r="L25" i="7"/>
  <c r="D23" i="7"/>
  <c r="G28" i="7"/>
  <c r="C25" i="7"/>
  <c r="F30" i="7"/>
  <c r="J27" i="7"/>
  <c r="J23" i="7"/>
  <c r="K27" i="7"/>
  <c r="B27" i="7"/>
  <c r="F24" i="7"/>
  <c r="I30" i="7"/>
  <c r="M29" i="7"/>
  <c r="E29" i="7"/>
  <c r="I28" i="7"/>
  <c r="M27" i="7"/>
  <c r="E27" i="7"/>
  <c r="I26" i="7"/>
  <c r="M25" i="7"/>
  <c r="E25" i="7"/>
  <c r="I24" i="7"/>
  <c r="M23" i="7"/>
  <c r="E23" i="7"/>
  <c r="H30" i="7"/>
  <c r="L29" i="7"/>
  <c r="D29" i="7"/>
  <c r="D27" i="7"/>
  <c r="H24" i="7"/>
  <c r="K29" i="7"/>
  <c r="K25" i="7"/>
  <c r="C23" i="7"/>
  <c r="F28" i="7"/>
  <c r="B25" i="7"/>
  <c r="B12" i="7"/>
  <c r="M19" i="7"/>
  <c r="E19" i="7"/>
  <c r="I18" i="7"/>
  <c r="M17" i="7"/>
  <c r="E17" i="7"/>
  <c r="I16" i="7"/>
  <c r="M15" i="7"/>
  <c r="E15" i="7"/>
  <c r="I14" i="7"/>
  <c r="E13" i="7"/>
  <c r="I12" i="7"/>
  <c r="G18" i="7"/>
  <c r="C15" i="7"/>
  <c r="C13" i="7"/>
  <c r="J19" i="7"/>
  <c r="B17" i="7"/>
  <c r="B15" i="7"/>
  <c r="F14" i="7"/>
  <c r="E14" i="7"/>
  <c r="H19" i="7"/>
  <c r="L16" i="7"/>
  <c r="D14" i="7"/>
  <c r="D12" i="7"/>
  <c r="C18" i="7"/>
  <c r="G15" i="7"/>
  <c r="G13" i="7"/>
  <c r="B18" i="7"/>
  <c r="B16" i="7"/>
  <c r="F13" i="7"/>
  <c r="L19" i="7"/>
  <c r="D19" i="7"/>
  <c r="H18" i="7"/>
  <c r="L17" i="7"/>
  <c r="D17" i="7"/>
  <c r="H16" i="7"/>
  <c r="L15" i="7"/>
  <c r="D15" i="7"/>
  <c r="H14" i="7"/>
  <c r="L13" i="7"/>
  <c r="D13" i="7"/>
  <c r="H12" i="7"/>
  <c r="K17" i="7"/>
  <c r="G16" i="7"/>
  <c r="G14" i="7"/>
  <c r="G12" i="7"/>
  <c r="B19" i="7"/>
  <c r="J17" i="7"/>
  <c r="J15" i="7"/>
  <c r="J13" i="7"/>
  <c r="B13" i="7"/>
  <c r="F12" i="7"/>
  <c r="I19" i="7"/>
  <c r="E18" i="7"/>
  <c r="I17" i="7"/>
  <c r="M16" i="7"/>
  <c r="E16" i="7"/>
  <c r="I15" i="7"/>
  <c r="M14" i="7"/>
  <c r="M12" i="7"/>
  <c r="L18" i="7"/>
  <c r="D16" i="7"/>
  <c r="H13" i="7"/>
  <c r="G17" i="7"/>
  <c r="K14" i="7"/>
  <c r="C12" i="7"/>
  <c r="F17" i="7"/>
  <c r="J14" i="7"/>
  <c r="J12" i="7"/>
  <c r="K19" i="7"/>
  <c r="C19" i="7"/>
  <c r="C17" i="7"/>
  <c r="K15" i="7"/>
  <c r="K13" i="7"/>
  <c r="F18" i="7"/>
  <c r="F16" i="7"/>
  <c r="E12" i="7"/>
  <c r="H17" i="7"/>
  <c r="L14" i="7"/>
  <c r="G19" i="7"/>
  <c r="C16" i="7"/>
  <c r="K12" i="7"/>
  <c r="J18" i="7"/>
  <c r="F15" i="7"/>
  <c r="M18" i="7"/>
  <c r="I13" i="7"/>
  <c r="D18" i="7"/>
  <c r="H15" i="7"/>
  <c r="L12" i="7"/>
  <c r="K18" i="7"/>
  <c r="K16" i="7"/>
  <c r="C14" i="7"/>
  <c r="F19" i="7"/>
  <c r="J16" i="7"/>
  <c r="B14" i="7"/>
  <c r="M13" i="7"/>
  <c r="G1" i="6"/>
  <c r="F28" i="6"/>
  <c r="H1" i="6" l="1"/>
  <c r="G28" i="6"/>
  <c r="I1" i="6" l="1"/>
  <c r="H28" i="6"/>
  <c r="J1" i="6" l="1"/>
  <c r="I28" i="6"/>
  <c r="K1" i="6" l="1"/>
  <c r="J28" i="6"/>
  <c r="L1" i="6" l="1"/>
  <c r="L28" i="6" s="1"/>
  <c r="K28" i="6"/>
</calcChain>
</file>

<file path=xl/sharedStrings.xml><?xml version="1.0" encoding="utf-8"?>
<sst xmlns="http://schemas.openxmlformats.org/spreadsheetml/2006/main" count="158" uniqueCount="97">
  <si>
    <t>Replicate 1</t>
  </si>
  <si>
    <t>Replicate 2</t>
  </si>
  <si>
    <t>Replicate 3</t>
  </si>
  <si>
    <t>Replicate 4</t>
  </si>
  <si>
    <t>Arith. Mean</t>
  </si>
  <si>
    <t>Gold cells are calculated</t>
  </si>
  <si>
    <t>Enter fluorescence measurements into blue cells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</si>
  <si>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</si>
  <si>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</si>
  <si>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</si>
  <si>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</si>
  <si>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</si>
  <si>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</si>
  <si>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</si>
  <si>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</si>
  <si>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Unit Scaling Factors: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</si>
  <si>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</si>
  <si>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</si>
  <si>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</si>
  <si>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Raw Plate Readings</t>
  </si>
  <si>
    <t>Fluorescence Raw Readings:</t>
  </si>
  <si>
    <t>Abs600 Raw Readings:</t>
  </si>
  <si>
    <t>Enter fluorescence and Abs600 measurements into blue cells on "Raw Plate Reader Measurements"</t>
  </si>
  <si>
    <t>Number of Particles</t>
  </si>
  <si>
    <t>Enter Abs600 measurements into blue cells</t>
  </si>
  <si>
    <t>Mean particles / Abs600</t>
  </si>
  <si>
    <t>Particles / Abs600</t>
  </si>
  <si>
    <t>Fluorescein/a.u.</t>
  </si>
  <si>
    <t>Mean uM fluorescein / a.u.:</t>
  </si>
  <si>
    <t>Net Abs 600</t>
  </si>
  <si>
    <t>Net Fluorescein a.u.</t>
  </si>
  <si>
    <t>MEFL / particle</t>
  </si>
  <si>
    <t>MEFL / a.u.</t>
  </si>
  <si>
    <t>MEFL / a.u.:</t>
  </si>
  <si>
    <t>Spheres/gram</t>
  </si>
  <si>
    <t>Cospheric Monodisperse Silica Microspheres 0.961um diameter</t>
  </si>
  <si>
    <t>grams/mL</t>
  </si>
  <si>
    <t>Resuspend volume mL:</t>
  </si>
  <si>
    <t>Arith. Net Mean</t>
  </si>
  <si>
    <t>Fluorescein uM</t>
  </si>
  <si>
    <t>Initial Molarity</t>
  </si>
  <si>
    <t>Molecules / Mole</t>
  </si>
  <si>
    <t>Well volume (L):</t>
  </si>
  <si>
    <t>Fluorescein uM --&gt; MEFL calculation:</t>
  </si>
  <si>
    <t>MEFL / uM</t>
  </si>
  <si>
    <t>Well volume (mL)</t>
  </si>
  <si>
    <t>uM Fluorescein/a.u.</t>
  </si>
  <si>
    <t>Gold cells are calculated from values on other sheets</t>
  </si>
  <si>
    <t>A</t>
  </si>
  <si>
    <t>B</t>
  </si>
  <si>
    <t>C</t>
  </si>
  <si>
    <t>D</t>
  </si>
  <si>
    <t>E</t>
  </si>
  <si>
    <t>F</t>
  </si>
  <si>
    <t>G</t>
  </si>
  <si>
    <t>H</t>
  </si>
  <si>
    <t>They will automatically propagate into the correct locations in the Fluorescence per Particle Sheet</t>
  </si>
  <si>
    <t>Scaling is computed from medium-high points likely to be less impacted by saturation or pipetting error</t>
  </si>
  <si>
    <t>https://www.cospheric.com/SiO2MS_monodisperse_silica_spheres_beads_nm_microns.htm</t>
  </si>
  <si>
    <t>Number supplied by manufacturer</t>
  </si>
  <si>
    <t>Spheres/0.50 mL</t>
  </si>
  <si>
    <t>Shipped volume from manufacturer</t>
  </si>
  <si>
    <t>Preparation by iGEM HQ</t>
  </si>
  <si>
    <t>Dilution for stock solution:</t>
  </si>
  <si>
    <t>Tube Particles / mL:</t>
  </si>
  <si>
    <t>Stock Particles / mL:</t>
  </si>
  <si>
    <t>Amount of stock left in initial well after protocol</t>
  </si>
  <si>
    <t>Particle density in measurement kit tube</t>
  </si>
  <si>
    <t>Particle density in prepared stock solution</t>
  </si>
  <si>
    <t>Amount of particles left in first well</t>
  </si>
  <si>
    <t>First well row (A-H):</t>
  </si>
  <si>
    <t>First well column (1-12):</t>
  </si>
  <si>
    <t>Last well row (A-H):</t>
  </si>
  <si>
    <t>Last well column (1-12):</t>
  </si>
  <si>
    <t>Abs600 blanks:</t>
  </si>
  <si>
    <t>Fluorescence blanks:</t>
  </si>
  <si>
    <t>Media Blank Control Wells:</t>
  </si>
  <si>
    <t>Identify the plate wells containing your media blank controls in the blue cells; the ranges will be calculated in gold and highlighted in green eblow</t>
  </si>
  <si>
    <t>Copy Abs600 and fluorescence measurements from your plate reader into the blue and green cells of the plate rectangles</t>
  </si>
  <si>
    <t>Abs600 blank mean:</t>
  </si>
  <si>
    <t>Fluorescence blank mean:</t>
  </si>
  <si>
    <t>Calculated values imported from prior sheets</t>
  </si>
  <si>
    <t>Calibration ready?</t>
  </si>
  <si>
    <t>Avogadro's Number</t>
  </si>
  <si>
    <t>Control blanks:</t>
  </si>
  <si>
    <t>The MEFL/particle values for these cells will generally be invalid, and are highlighed in red.</t>
  </si>
  <si>
    <t>10 micro-molar, per protocol</t>
  </si>
  <si>
    <t>100 micro-liters</t>
  </si>
  <si>
    <t>molecules/mole * moles/liter * liters</t>
  </si>
  <si>
    <t>Initial Molecules / well:</t>
  </si>
  <si>
    <t>Initial particles / well:</t>
  </si>
  <si>
    <t>initial well molecules / 10 micromoles</t>
  </si>
  <si>
    <t>Equivalent particle count:</t>
  </si>
  <si>
    <t>100 uL from tube + 900 ddH20</t>
  </si>
  <si>
    <t>Data analysis template version:</t>
  </si>
  <si>
    <t>v1</t>
  </si>
  <si>
    <t>Rhodamine B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</si>
</sst>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00E+00"/>
    <numFmt numFmtId="167" formatCode="0.0"/>
  </numFmts>
  <fonts count="11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theme="1" tint="0.499984740745262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</cellStyleXfs>
  <cellXfs count="42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/>
    <xf numFmtId="0" fontId="4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5" fillId="0" borderId="0" xfId="0" applyFont="1"/>
    <xf numFmtId="0" fontId="6" fillId="0" borderId="2" xfId="0" applyFont="1" applyBorder="1"/>
    <xf numFmtId="0" fontId="6" fillId="0" borderId="0" xfId="0" applyFont="1"/>
    <xf numFmtId="11" fontId="4" fillId="0" borderId="0" xfId="0" applyNumberFormat="1" applyFont="1"/>
    <xf numFmtId="11" fontId="0" fillId="3" borderId="3" xfId="0" applyNumberFormat="1" applyFill="1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11" fontId="1" fillId="0" borderId="0" xfId="0" applyNumberFormat="1" applyFont="1" applyAlignment="1">
      <alignment horizontal="center"/>
    </xf>
    <xf numFmtId="165" fontId="0" fillId="3" borderId="1" xfId="0" applyNumberFormat="1" applyFill="1" applyBorder="1"/>
    <xf numFmtId="165" fontId="0" fillId="0" borderId="0" xfId="0" applyNumberFormat="1"/>
    <xf numFmtId="2" fontId="0" fillId="0" borderId="0" xfId="0" applyNumberForma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0" fillId="2" borderId="1" xfId="0" applyNumberFormat="1" applyFill="1" applyBorder="1"/>
    <xf numFmtId="166" fontId="0" fillId="3" borderId="3" xfId="0" applyNumberFormat="1" applyFill="1" applyBorder="1"/>
    <xf numFmtId="166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241"/>
    <xf numFmtId="167" fontId="0" fillId="0" borderId="0" xfId="0" applyNumberFormat="1"/>
    <xf numFmtId="0" fontId="9" fillId="0" borderId="0" xfId="0" applyFont="1"/>
    <xf numFmtId="11" fontId="0" fillId="3" borderId="1" xfId="0" applyNumberFormat="1" applyFill="1" applyBorder="1"/>
    <xf numFmtId="0" fontId="0" fillId="0" borderId="0" xfId="0" applyNumberFormat="1"/>
    <xf numFmtId="0" fontId="6" fillId="0" borderId="0" xfId="0" applyFont="1" applyBorder="1"/>
    <xf numFmtId="0" fontId="0" fillId="0" borderId="0" xfId="0" applyFont="1" applyAlignment="1">
      <alignment horizontal="center"/>
    </xf>
    <xf numFmtId="11" fontId="0" fillId="3" borderId="1" xfId="0" applyNumberFormat="1" applyFill="1" applyBorder="1" applyAlignment="1">
      <alignment horizontal="center"/>
    </xf>
    <xf numFmtId="11" fontId="0" fillId="3" borderId="3" xfId="0" applyNumberFormat="1" applyFill="1" applyBorder="1" applyAlignment="1">
      <alignment horizontal="center"/>
    </xf>
    <xf numFmtId="11" fontId="0" fillId="0" borderId="0" xfId="0" applyNumberFormat="1" applyFill="1" applyBorder="1"/>
    <xf numFmtId="164" fontId="10" fillId="0" borderId="0" xfId="242" applyNumberFormat="1"/>
    <xf numFmtId="164" fontId="10" fillId="0" borderId="0" xfId="242" applyNumberFormat="1"/>
    <xf numFmtId="164" fontId="10" fillId="0" borderId="0" xfId="242" applyNumberFormat="1"/>
    <xf numFmtId="0" fontId="0" fillId="3" borderId="3" xfId="0" applyNumberFormat="1" applyFill="1" applyBorder="1"/>
    <xf numFmtId="0" fontId="0" fillId="0" borderId="0" xfId="0" applyAlignment="1">
      <alignment horizontal="left"/>
    </xf>
  </cellXfs>
  <cellStyles count="24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Hiperłącze" xfId="135" builtinId="8" hidden="1"/>
    <cellStyle name="Hiperłącze" xfId="137" builtinId="8" hidden="1"/>
    <cellStyle name="Hiperłącze" xfId="139" builtinId="8" hidden="1"/>
    <cellStyle name="Hiperłącze" xfId="141" builtinId="8" hidden="1"/>
    <cellStyle name="Hiperłącze" xfId="143" builtinId="8" hidden="1"/>
    <cellStyle name="Hiperłącze" xfId="145" builtinId="8" hidden="1"/>
    <cellStyle name="Hiperłącze" xfId="147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 hidden="1"/>
    <cellStyle name="Hiperłącze" xfId="213" builtinId="8" hidden="1"/>
    <cellStyle name="Hiperłącze" xfId="215" builtinId="8" hidden="1"/>
    <cellStyle name="Hiperłącze" xfId="217" builtinId="8" hidden="1"/>
    <cellStyle name="Hiperłącze" xfId="219" builtinId="8" hidden="1"/>
    <cellStyle name="Hiperłącze" xfId="221" builtinId="8" hidden="1"/>
    <cellStyle name="Hiperłącze" xfId="223" builtinId="8" hidden="1"/>
    <cellStyle name="Hiperłącze" xfId="225" builtinId="8" hidden="1"/>
    <cellStyle name="Hiperłącze" xfId="227" builtinId="8" hidden="1"/>
    <cellStyle name="Hiperłącze" xfId="229" builtinId="8" hidden="1"/>
    <cellStyle name="Hiperłącze" xfId="231" builtinId="8" hidden="1"/>
    <cellStyle name="Hiperłącze" xfId="233" builtinId="8" hidden="1"/>
    <cellStyle name="Hiperłącze" xfId="235" builtinId="8" hidden="1"/>
    <cellStyle name="Hiperłącze" xfId="237" builtinId="8" hidden="1"/>
    <cellStyle name="Hiperłącze" xfId="239" builtinId="8" hidden="1"/>
    <cellStyle name="Hiperłącze" xfId="241" builtinId="8"/>
    <cellStyle name="Normalny" xfId="0" builtinId="0"/>
    <cellStyle name="Normalny 2" xfId="242" xr:uid="{F9A42476-2A41-4D90-AE7F-0B81CB47EA42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8" builtinId="9" hidden="1"/>
    <cellStyle name="Odwiedzone hiperłącze" xfId="220" builtinId="9" hidden="1"/>
    <cellStyle name="Odwiedzone hiperłącze" xfId="222" builtinId="9" hidden="1"/>
    <cellStyle name="Odwiedzone hiperłącze" xfId="224" builtinId="9" hidden="1"/>
    <cellStyle name="Odwiedzone hiperłącze" xfId="226" builtinId="9" hidden="1"/>
    <cellStyle name="Odwiedzone hiperłącze" xfId="228" builtinId="9" hidden="1"/>
    <cellStyle name="Odwiedzone hiperłącze" xfId="230" builtinId="9" hidden="1"/>
    <cellStyle name="Odwiedzone hiperłącze" xfId="232" builtinId="9" hidden="1"/>
    <cellStyle name="Odwiedzone hiperłącze" xfId="234" builtinId="9" hidden="1"/>
    <cellStyle name="Odwiedzone hiperłącze" xfId="236" builtinId="9" hidden="1"/>
    <cellStyle name="Odwiedzone hiperłącze" xfId="238" builtinId="9" hidden="1"/>
    <cellStyle name="Odwiedzone hiperłącze" xfId="240" builtinId="9" hidden="1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'Particle standard curve'!$B$7:$M$7</c:f>
                <c:numCache>
                  <c:formatCode>General</c:formatCode>
                  <c:ptCount val="12"/>
                  <c:pt idx="0">
                    <c:v>4.5317794518267965E-2</c:v>
                  </c:pt>
                  <c:pt idx="1">
                    <c:v>7.5084396958800008E-3</c:v>
                  </c:pt>
                  <c:pt idx="2">
                    <c:v>1.4855189889956384E-2</c:v>
                  </c:pt>
                  <c:pt idx="3">
                    <c:v>6.9761498454854766E-4</c:v>
                  </c:pt>
                  <c:pt idx="4">
                    <c:v>3.6908671067921134E-3</c:v>
                  </c:pt>
                  <c:pt idx="5">
                    <c:v>1.1757976016304851E-3</c:v>
                  </c:pt>
                  <c:pt idx="6">
                    <c:v>1.7320508075688935E-4</c:v>
                  </c:pt>
                  <c:pt idx="7">
                    <c:v>3.095695936834443E-4</c:v>
                  </c:pt>
                  <c:pt idx="8">
                    <c:v>1.0874281585465794E-3</c:v>
                  </c:pt>
                  <c:pt idx="9">
                    <c:v>9.215023964519387E-4</c:v>
                  </c:pt>
                  <c:pt idx="10">
                    <c:v>6.0553007081949844E-4</c:v>
                  </c:pt>
                  <c:pt idx="11">
                    <c:v>3.3040379335998421E-4</c:v>
                  </c:pt>
                </c:numCache>
              </c:numRef>
            </c:plus>
            <c:minus>
              <c:numRef>
                <c:f>'Particle standard curve'!$B$7:$M$7</c:f>
                <c:numCache>
                  <c:formatCode>General</c:formatCode>
                  <c:ptCount val="12"/>
                  <c:pt idx="0">
                    <c:v>4.5317794518267965E-2</c:v>
                  </c:pt>
                  <c:pt idx="1">
                    <c:v>7.5084396958800008E-3</c:v>
                  </c:pt>
                  <c:pt idx="2">
                    <c:v>1.4855189889956384E-2</c:v>
                  </c:pt>
                  <c:pt idx="3">
                    <c:v>6.9761498454854766E-4</c:v>
                  </c:pt>
                  <c:pt idx="4">
                    <c:v>3.6908671067921134E-3</c:v>
                  </c:pt>
                  <c:pt idx="5">
                    <c:v>1.1757976016304851E-3</c:v>
                  </c:pt>
                  <c:pt idx="6">
                    <c:v>1.7320508075688935E-4</c:v>
                  </c:pt>
                  <c:pt idx="7">
                    <c:v>3.095695936834443E-4</c:v>
                  </c:pt>
                  <c:pt idx="8">
                    <c:v>1.0874281585465794E-3</c:v>
                  </c:pt>
                  <c:pt idx="9">
                    <c:v>9.215023964519387E-4</c:v>
                  </c:pt>
                  <c:pt idx="10">
                    <c:v>6.0553007081949844E-4</c:v>
                  </c:pt>
                  <c:pt idx="11">
                    <c:v>3.3040379335998421E-4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'Particle standard curve'!$B$1:$M$1</c:f>
              <c:numCache>
                <c:formatCode>0.00E+00</c:formatCode>
                <c:ptCount val="12"/>
                <c:pt idx="0">
                  <c:v>300000000</c:v>
                </c:pt>
                <c:pt idx="1">
                  <c:v>150000000</c:v>
                </c:pt>
                <c:pt idx="2">
                  <c:v>75000000</c:v>
                </c:pt>
                <c:pt idx="3">
                  <c:v>37500000</c:v>
                </c:pt>
                <c:pt idx="4">
                  <c:v>18750000</c:v>
                </c:pt>
                <c:pt idx="5">
                  <c:v>9375000</c:v>
                </c:pt>
                <c:pt idx="6">
                  <c:v>4687500</c:v>
                </c:pt>
                <c:pt idx="7">
                  <c:v>2343750</c:v>
                </c:pt>
                <c:pt idx="8">
                  <c:v>1171875</c:v>
                </c:pt>
                <c:pt idx="9">
                  <c:v>585937.5</c:v>
                </c:pt>
                <c:pt idx="10">
                  <c:v>292968.75</c:v>
                </c:pt>
                <c:pt idx="11" formatCode="General">
                  <c:v>0</c:v>
                </c:pt>
              </c:numCache>
            </c:numRef>
          </c:xVal>
          <c:yVal>
            <c:numRef>
              <c:f>'Particle standard curve'!$B$6:$M$6</c:f>
              <c:numCache>
                <c:formatCode>0.000E+00</c:formatCode>
                <c:ptCount val="12"/>
                <c:pt idx="0">
                  <c:v>0.35757500000000003</c:v>
                </c:pt>
                <c:pt idx="1">
                  <c:v>0.15075</c:v>
                </c:pt>
                <c:pt idx="2">
                  <c:v>0.10295000000000001</c:v>
                </c:pt>
                <c:pt idx="3">
                  <c:v>6.6100000000000006E-2</c:v>
                </c:pt>
                <c:pt idx="4">
                  <c:v>5.4074999999999998E-2</c:v>
                </c:pt>
                <c:pt idx="5">
                  <c:v>4.5475000000000002E-2</c:v>
                </c:pt>
                <c:pt idx="6">
                  <c:v>4.1349999999999998E-2</c:v>
                </c:pt>
                <c:pt idx="7">
                  <c:v>3.9275000000000004E-2</c:v>
                </c:pt>
                <c:pt idx="8">
                  <c:v>3.9175000000000001E-2</c:v>
                </c:pt>
                <c:pt idx="9">
                  <c:v>3.9125E-2</c:v>
                </c:pt>
                <c:pt idx="10">
                  <c:v>3.8199999999999998E-2</c:v>
                </c:pt>
                <c:pt idx="11">
                  <c:v>3.7724999999999995E-2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A4-E34D-AE91-4BB50CA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30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'Particle standard curve'!$B$1:$L$1</c:f>
              <c:numCache>
                <c:formatCode>0.00E+00</c:formatCode>
                <c:ptCount val="11"/>
                <c:pt idx="0">
                  <c:v>300000000</c:v>
                </c:pt>
                <c:pt idx="1">
                  <c:v>150000000</c:v>
                </c:pt>
                <c:pt idx="2">
                  <c:v>75000000</c:v>
                </c:pt>
                <c:pt idx="3">
                  <c:v>37500000</c:v>
                </c:pt>
                <c:pt idx="4">
                  <c:v>18750000</c:v>
                </c:pt>
                <c:pt idx="5">
                  <c:v>9375000</c:v>
                </c:pt>
                <c:pt idx="6">
                  <c:v>4687500</c:v>
                </c:pt>
                <c:pt idx="7">
                  <c:v>2343750</c:v>
                </c:pt>
                <c:pt idx="8">
                  <c:v>1171875</c:v>
                </c:pt>
                <c:pt idx="9">
                  <c:v>585937.5</c:v>
                </c:pt>
                <c:pt idx="10">
                  <c:v>292968.75</c:v>
                </c:pt>
              </c:numCache>
            </c:numRef>
          </c:xVal>
          <c:yVal>
            <c:numRef>
              <c:f>'Particle standard curve'!$B$6:$L$6</c:f>
              <c:numCache>
                <c:formatCode>0.000E+00</c:formatCode>
                <c:ptCount val="11"/>
                <c:pt idx="0">
                  <c:v>0.35757500000000003</c:v>
                </c:pt>
                <c:pt idx="1">
                  <c:v>0.15075</c:v>
                </c:pt>
                <c:pt idx="2">
                  <c:v>0.10295000000000001</c:v>
                </c:pt>
                <c:pt idx="3">
                  <c:v>6.6100000000000006E-2</c:v>
                </c:pt>
                <c:pt idx="4">
                  <c:v>5.4074999999999998E-2</c:v>
                </c:pt>
                <c:pt idx="5">
                  <c:v>4.5475000000000002E-2</c:v>
                </c:pt>
                <c:pt idx="6">
                  <c:v>4.1349999999999998E-2</c:v>
                </c:pt>
                <c:pt idx="7">
                  <c:v>3.9275000000000004E-2</c:v>
                </c:pt>
                <c:pt idx="8">
                  <c:v>3.9175000000000001E-2</c:v>
                </c:pt>
                <c:pt idx="9">
                  <c:v>3.9125E-2</c:v>
                </c:pt>
                <c:pt idx="10">
                  <c:v>3.8199999999999998E-2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3B-A945-B696-14209793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300000000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Rhodamine B</a:t>
            </a:r>
            <a:r>
              <a:rPr lang="en-GB"/>
              <a:t>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0.2672389362265673</c:v>
                  </c:pt>
                  <c:pt idx="1">
                    <c:v>9.0399041804345728E-2</c:v>
                  </c:pt>
                  <c:pt idx="2">
                    <c:v>0.17444801722217632</c:v>
                  </c:pt>
                  <c:pt idx="3">
                    <c:v>6.0799285136324765E-2</c:v>
                  </c:pt>
                  <c:pt idx="4">
                    <c:v>0.40023074706066797</c:v>
                  </c:pt>
                  <c:pt idx="5">
                    <c:v>0.1042225531524025</c:v>
                  </c:pt>
                  <c:pt idx="6">
                    <c:v>5.5577318398070188E-2</c:v>
                  </c:pt>
                  <c:pt idx="7">
                    <c:v>8.6530398004766029E-2</c:v>
                  </c:pt>
                  <c:pt idx="8">
                    <c:v>3.4853322443988172E-2</c:v>
                  </c:pt>
                  <c:pt idx="9">
                    <c:v>6.8321592715958807E-2</c:v>
                  </c:pt>
                  <c:pt idx="10">
                    <c:v>5.4970071948360198E-2</c:v>
                  </c:pt>
                  <c:pt idx="11">
                    <c:v>4.8587568133966953E-2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0.2672389362265673</c:v>
                  </c:pt>
                  <c:pt idx="1">
                    <c:v>9.0399041804345728E-2</c:v>
                  </c:pt>
                  <c:pt idx="2">
                    <c:v>0.17444801722217632</c:v>
                  </c:pt>
                  <c:pt idx="3">
                    <c:v>6.0799285136324765E-2</c:v>
                  </c:pt>
                  <c:pt idx="4">
                    <c:v>0.40023074706066797</c:v>
                  </c:pt>
                  <c:pt idx="5">
                    <c:v>0.1042225531524025</c:v>
                  </c:pt>
                  <c:pt idx="6">
                    <c:v>5.5577318398070188E-2</c:v>
                  </c:pt>
                  <c:pt idx="7">
                    <c:v>8.6530398004766029E-2</c:v>
                  </c:pt>
                  <c:pt idx="8">
                    <c:v>3.4853322443988172E-2</c:v>
                  </c:pt>
                  <c:pt idx="9">
                    <c:v>6.8321592715958807E-2</c:v>
                  </c:pt>
                  <c:pt idx="10">
                    <c:v>5.4970071948360198E-2</c:v>
                  </c:pt>
                  <c:pt idx="11">
                    <c:v>4.8587568133966953E-2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 formatCode="0.000">
                  <c:v>1.5625</c:v>
                </c:pt>
                <c:pt idx="6" formatCode="0.000">
                  <c:v>0.78125</c:v>
                </c:pt>
                <c:pt idx="7" formatCode="0.000">
                  <c:v>0.390625</c:v>
                </c:pt>
                <c:pt idx="8" formatCode="0.000">
                  <c:v>0.1953125</c:v>
                </c:pt>
                <c:pt idx="9" formatCode="0.0000">
                  <c:v>9.765625E-2</c:v>
                </c:pt>
                <c:pt idx="10" formatCode="0.0000">
                  <c:v>4.8828125E-2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0.000E+00</c:formatCode>
                <c:ptCount val="12"/>
                <c:pt idx="0">
                  <c:v>4.9269670247500006</c:v>
                </c:pt>
                <c:pt idx="1">
                  <c:v>5.5388274192499996</c:v>
                </c:pt>
                <c:pt idx="2">
                  <c:v>5.451191187</c:v>
                </c:pt>
                <c:pt idx="3">
                  <c:v>4.7435467242499998</c:v>
                </c:pt>
                <c:pt idx="4">
                  <c:v>3.4076858757499999</c:v>
                </c:pt>
                <c:pt idx="5">
                  <c:v>2.2126029135</c:v>
                </c:pt>
                <c:pt idx="6">
                  <c:v>1.2987501027500001</c:v>
                </c:pt>
                <c:pt idx="7">
                  <c:v>0.70097607374999993</c:v>
                </c:pt>
                <c:pt idx="8">
                  <c:v>0.450015470375</c:v>
                </c:pt>
                <c:pt idx="9">
                  <c:v>0.3061288707</c:v>
                </c:pt>
                <c:pt idx="10">
                  <c:v>0.2358523458</c:v>
                </c:pt>
                <c:pt idx="11">
                  <c:v>0.11933880858000001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E8-9D49-8993-B273940AB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Rhodamine B</a:t>
                </a:r>
                <a:r>
                  <a:rPr lang="en-GB"/>
                  <a:t>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Rhodamine B</a:t>
            </a:r>
            <a:r>
              <a:rPr lang="en-GB"/>
              <a:t>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 formatCode="0.000">
                  <c:v>1.5625</c:v>
                </c:pt>
                <c:pt idx="6" formatCode="0.000">
                  <c:v>0.78125</c:v>
                </c:pt>
                <c:pt idx="7" formatCode="0.000">
                  <c:v>0.390625</c:v>
                </c:pt>
                <c:pt idx="8" formatCode="0.000">
                  <c:v>0.1953125</c:v>
                </c:pt>
                <c:pt idx="9" formatCode="0.0000">
                  <c:v>9.765625E-2</c:v>
                </c:pt>
                <c:pt idx="10" formatCode="0.0000">
                  <c:v>4.8828125E-2</c:v>
                </c:pt>
              </c:numCache>
            </c:numRef>
          </c:xVal>
          <c:yVal>
            <c:numRef>
              <c:f>'Fluorescein standard curve'!$B$6:$L$6</c:f>
              <c:numCache>
                <c:formatCode>0.000E+00</c:formatCode>
                <c:ptCount val="11"/>
                <c:pt idx="0">
                  <c:v>4.9269670247500006</c:v>
                </c:pt>
                <c:pt idx="1">
                  <c:v>5.5388274192499996</c:v>
                </c:pt>
                <c:pt idx="2">
                  <c:v>5.451191187</c:v>
                </c:pt>
                <c:pt idx="3">
                  <c:v>4.7435467242499998</c:v>
                </c:pt>
                <c:pt idx="4">
                  <c:v>3.4076858757499999</c:v>
                </c:pt>
                <c:pt idx="5">
                  <c:v>2.2126029135</c:v>
                </c:pt>
                <c:pt idx="6">
                  <c:v>1.2987501027500001</c:v>
                </c:pt>
                <c:pt idx="7">
                  <c:v>0.70097607374999993</c:v>
                </c:pt>
                <c:pt idx="8">
                  <c:v>0.450015470375</c:v>
                </c:pt>
                <c:pt idx="9">
                  <c:v>0.3061288707</c:v>
                </c:pt>
                <c:pt idx="10">
                  <c:v>0.2358523458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E8-A340-A627-6DE5ED446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50"/>
          <c:min val="1.0000000000000002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Rhodamine B</a:t>
                </a:r>
                <a:r>
                  <a:rPr lang="en-GB"/>
                  <a:t>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8</xdr:row>
      <xdr:rowOff>0</xdr:rowOff>
    </xdr:from>
    <xdr:to>
      <xdr:col>6</xdr:col>
      <xdr:colOff>498475</xdr:colOff>
      <xdr:row>22</xdr:row>
      <xdr:rowOff>177800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58D92B3-274A-9D46-9C7C-FA4F4019B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7</xdr:row>
      <xdr:rowOff>152400</xdr:rowOff>
    </xdr:from>
    <xdr:to>
      <xdr:col>14</xdr:col>
      <xdr:colOff>114300</xdr:colOff>
      <xdr:row>22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C5FAF1-EB12-464E-B446-35FAC7BBB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cospheric.com/SiO2MS_monodisperse_silica_spheres_beads_nm_microns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4"/>
  <sheetViews>
    <sheetView topLeftCell="A12" zoomScaleNormal="100" workbookViewId="0">
      <selection activeCell="H13" sqref="H13"/>
    </sheetView>
  </sheetViews>
  <sheetFormatPr defaultColWidth="8.85546875" defaultRowHeight="15" x14ac:dyDescent="0.25"/>
  <cols>
    <col min="1" max="1" width="17.42578125" customWidth="1"/>
    <col min="2" max="13" width="10.85546875" customWidth="1"/>
  </cols>
  <sheetData>
    <row r="1" spans="1:23" x14ac:dyDescent="0.25">
      <c r="A1" t="s">
        <v>23</v>
      </c>
      <c r="B1" s="16">
        <f>T30</f>
        <v>300000000</v>
      </c>
      <c r="C1" s="16">
        <f>B1/2</f>
        <v>150000000</v>
      </c>
      <c r="D1" s="16">
        <f>C1/2</f>
        <v>75000000</v>
      </c>
      <c r="E1" s="16">
        <f>D1/2</f>
        <v>37500000</v>
      </c>
      <c r="F1" s="16">
        <f t="shared" ref="F1:L1" si="0">E1/2</f>
        <v>18750000</v>
      </c>
      <c r="G1" s="16">
        <f t="shared" si="0"/>
        <v>9375000</v>
      </c>
      <c r="H1" s="16">
        <f t="shared" si="0"/>
        <v>4687500</v>
      </c>
      <c r="I1" s="16">
        <f t="shared" si="0"/>
        <v>2343750</v>
      </c>
      <c r="J1" s="16">
        <f t="shared" si="0"/>
        <v>1171875</v>
      </c>
      <c r="K1" s="16">
        <f t="shared" si="0"/>
        <v>585937.5</v>
      </c>
      <c r="L1" s="16">
        <f t="shared" si="0"/>
        <v>292968.75</v>
      </c>
      <c r="M1" s="2">
        <v>0</v>
      </c>
    </row>
    <row r="2" spans="1:23" x14ac:dyDescent="0.25">
      <c r="A2" t="s">
        <v>0</v>
      </c>
      <c r="B2" s="38">
        <v>0.4133</v>
      </c>
      <c r="C2" s="37">
        <v>0.15479999999999999</v>
      </c>
      <c r="D2" s="37">
        <v>9.4399999999999998E-2</v>
      </c>
      <c r="E2" s="37">
        <v>6.7000000000000004E-2</v>
      </c>
      <c r="F2" s="37">
        <v>5.3199999999999997E-2</v>
      </c>
      <c r="G2" s="37">
        <v>4.4499999999999998E-2</v>
      </c>
      <c r="H2" s="37">
        <v>4.1500000000000002E-2</v>
      </c>
      <c r="I2" s="37">
        <v>3.9300000000000002E-2</v>
      </c>
      <c r="J2" s="37">
        <v>3.85E-2</v>
      </c>
      <c r="K2" s="37">
        <v>3.9800000000000002E-2</v>
      </c>
      <c r="L2" s="37">
        <v>3.8399999999999997E-2</v>
      </c>
      <c r="M2" s="37">
        <v>3.7400000000000003E-2</v>
      </c>
      <c r="O2" s="8" t="s">
        <v>24</v>
      </c>
      <c r="T2" s="41" t="s">
        <v>94</v>
      </c>
      <c r="U2" s="41"/>
      <c r="V2" s="41"/>
      <c r="W2" t="s">
        <v>95</v>
      </c>
    </row>
    <row r="3" spans="1:23" x14ac:dyDescent="0.25">
      <c r="A3" t="s">
        <v>1</v>
      </c>
      <c r="B3" s="37">
        <v>0.35780000000000001</v>
      </c>
      <c r="C3" s="37">
        <v>0.13950000000000001</v>
      </c>
      <c r="D3" s="37">
        <v>0.12520000000000001</v>
      </c>
      <c r="E3" s="37">
        <v>6.5299999999999997E-2</v>
      </c>
      <c r="F3" s="37">
        <v>5.1400000000000001E-2</v>
      </c>
      <c r="G3" s="37">
        <v>4.4600000000000001E-2</v>
      </c>
      <c r="H3" s="37">
        <v>4.1099999999999998E-2</v>
      </c>
      <c r="I3" s="37">
        <v>3.9E-2</v>
      </c>
      <c r="J3" s="37">
        <v>3.8699999999999998E-2</v>
      </c>
      <c r="K3" s="37">
        <v>0.04</v>
      </c>
      <c r="L3" s="37">
        <v>3.73E-2</v>
      </c>
      <c r="M3" s="37">
        <v>3.7499999999999999E-2</v>
      </c>
      <c r="O3" s="8" t="s">
        <v>5</v>
      </c>
    </row>
    <row r="4" spans="1:23" x14ac:dyDescent="0.25">
      <c r="A4" t="s">
        <v>2</v>
      </c>
      <c r="B4" s="37">
        <v>0.3569</v>
      </c>
      <c r="C4" s="37">
        <v>0.1547</v>
      </c>
      <c r="D4" s="37">
        <v>9.6199999999999994E-2</v>
      </c>
      <c r="E4" s="37">
        <v>6.6000000000000003E-2</v>
      </c>
      <c r="F4" s="37">
        <v>5.2200000000000003E-2</v>
      </c>
      <c r="G4" s="37">
        <v>4.58E-2</v>
      </c>
      <c r="H4" s="37">
        <v>4.1399999999999999E-2</v>
      </c>
      <c r="I4" s="37">
        <v>3.9699999999999999E-2</v>
      </c>
      <c r="J4" s="37">
        <v>4.0800000000000003E-2</v>
      </c>
      <c r="K4" s="37">
        <v>3.8100000000000002E-2</v>
      </c>
      <c r="L4" s="37">
        <v>3.85E-2</v>
      </c>
      <c r="M4" s="37">
        <v>3.8100000000000002E-2</v>
      </c>
    </row>
    <row r="5" spans="1:23" x14ac:dyDescent="0.25">
      <c r="A5" t="s">
        <v>3</v>
      </c>
      <c r="B5" s="37">
        <v>0.30230000000000001</v>
      </c>
      <c r="C5" s="37">
        <v>0.154</v>
      </c>
      <c r="D5" s="37">
        <v>9.6000000000000002E-2</v>
      </c>
      <c r="E5" s="37">
        <v>6.6100000000000006E-2</v>
      </c>
      <c r="F5" s="37">
        <v>5.9499999999999997E-2</v>
      </c>
      <c r="G5" s="37">
        <v>4.7E-2</v>
      </c>
      <c r="H5" s="37">
        <v>4.1399999999999999E-2</v>
      </c>
      <c r="I5" s="37">
        <v>3.9100000000000003E-2</v>
      </c>
      <c r="J5" s="37">
        <v>3.8699999999999998E-2</v>
      </c>
      <c r="K5" s="37">
        <v>3.8600000000000002E-2</v>
      </c>
      <c r="L5" s="37">
        <v>3.8600000000000002E-2</v>
      </c>
      <c r="M5" s="37">
        <v>3.7900000000000003E-2</v>
      </c>
      <c r="O5" s="4"/>
    </row>
    <row r="6" spans="1:23" x14ac:dyDescent="0.25">
      <c r="A6" t="s">
        <v>4</v>
      </c>
      <c r="B6" s="23">
        <f t="shared" ref="B6:M6" si="1">IF(COUNTA(B2:B5)&gt;0,AVERAGE(B2:B5),"---")</f>
        <v>0.35757500000000003</v>
      </c>
      <c r="C6" s="23">
        <f t="shared" si="1"/>
        <v>0.15075</v>
      </c>
      <c r="D6" s="23">
        <f t="shared" si="1"/>
        <v>0.10295000000000001</v>
      </c>
      <c r="E6" s="23">
        <f t="shared" si="1"/>
        <v>6.6100000000000006E-2</v>
      </c>
      <c r="F6" s="23">
        <f t="shared" si="1"/>
        <v>5.4074999999999998E-2</v>
      </c>
      <c r="G6" s="23">
        <f t="shared" si="1"/>
        <v>4.5475000000000002E-2</v>
      </c>
      <c r="H6" s="23">
        <f t="shared" si="1"/>
        <v>4.1349999999999998E-2</v>
      </c>
      <c r="I6" s="23">
        <f t="shared" si="1"/>
        <v>3.9275000000000004E-2</v>
      </c>
      <c r="J6" s="23">
        <f t="shared" si="1"/>
        <v>3.9175000000000001E-2</v>
      </c>
      <c r="K6" s="23">
        <f t="shared" si="1"/>
        <v>3.9125E-2</v>
      </c>
      <c r="L6" s="23">
        <f t="shared" si="1"/>
        <v>3.8199999999999998E-2</v>
      </c>
      <c r="M6" s="23">
        <f t="shared" si="1"/>
        <v>3.7724999999999995E-2</v>
      </c>
    </row>
    <row r="7" spans="1:23" x14ac:dyDescent="0.25">
      <c r="A7" t="s">
        <v>7</v>
      </c>
      <c r="B7" s="23">
        <f t="shared" ref="B7:M7" si="2">IF(COUNTA(B2:B5)&gt;0,STDEV(B2:B5),"---")</f>
        <v>4.5317794518267965E-2</v>
      </c>
      <c r="C7" s="23">
        <f t="shared" si="2"/>
        <v>7.5084396958800008E-3</v>
      </c>
      <c r="D7" s="23">
        <f t="shared" si="2"/>
        <v>1.4855189889956384E-2</v>
      </c>
      <c r="E7" s="23">
        <f t="shared" si="2"/>
        <v>6.9761498454854766E-4</v>
      </c>
      <c r="F7" s="23">
        <f t="shared" si="2"/>
        <v>3.6908671067921134E-3</v>
      </c>
      <c r="G7" s="23">
        <f t="shared" si="2"/>
        <v>1.1757976016304851E-3</v>
      </c>
      <c r="H7" s="23">
        <f t="shared" si="2"/>
        <v>1.7320508075688935E-4</v>
      </c>
      <c r="I7" s="23">
        <f t="shared" si="2"/>
        <v>3.095695936834443E-4</v>
      </c>
      <c r="J7" s="23">
        <f t="shared" si="2"/>
        <v>1.0874281585465794E-3</v>
      </c>
      <c r="K7" s="23">
        <f t="shared" si="2"/>
        <v>9.215023964519387E-4</v>
      </c>
      <c r="L7" s="23">
        <f t="shared" si="2"/>
        <v>6.0553007081949844E-4</v>
      </c>
      <c r="M7" s="23">
        <f t="shared" si="2"/>
        <v>3.3040379335998421E-4</v>
      </c>
    </row>
    <row r="8" spans="1:23" x14ac:dyDescent="0.25">
      <c r="A8" t="s">
        <v>38</v>
      </c>
      <c r="B8" s="23">
        <f t="shared" ref="B8:L8" si="3">IF(AND(ISNUMBER(B6),ISNUMBER($M6)),B6-$M6,"---")</f>
        <v>0.31985000000000002</v>
      </c>
      <c r="C8" s="23">
        <f t="shared" si="3"/>
        <v>0.113025</v>
      </c>
      <c r="D8" s="23">
        <f t="shared" si="3"/>
        <v>6.5225000000000019E-2</v>
      </c>
      <c r="E8" s="23">
        <f t="shared" si="3"/>
        <v>2.8375000000000011E-2</v>
      </c>
      <c r="F8" s="23">
        <f t="shared" si="3"/>
        <v>1.6350000000000003E-2</v>
      </c>
      <c r="G8" s="23">
        <f t="shared" si="3"/>
        <v>7.7500000000000069E-3</v>
      </c>
      <c r="H8" s="23">
        <f t="shared" si="3"/>
        <v>3.6250000000000032E-3</v>
      </c>
      <c r="I8" s="23">
        <f t="shared" si="3"/>
        <v>1.5500000000000097E-3</v>
      </c>
      <c r="J8" s="23">
        <f t="shared" si="3"/>
        <v>1.4500000000000068E-3</v>
      </c>
      <c r="K8" s="23">
        <f t="shared" si="3"/>
        <v>1.4000000000000054E-3</v>
      </c>
      <c r="L8" s="23">
        <f t="shared" si="3"/>
        <v>4.750000000000032E-4</v>
      </c>
      <c r="M8" s="18"/>
    </row>
    <row r="12" spans="1:23" x14ac:dyDescent="0.25">
      <c r="Q12" s="8" t="s">
        <v>9</v>
      </c>
    </row>
    <row r="13" spans="1:23" x14ac:dyDescent="0.25">
      <c r="Q13" s="8" t="s">
        <v>10</v>
      </c>
    </row>
    <row r="14" spans="1:23" x14ac:dyDescent="0.25">
      <c r="Q14" s="8" t="s">
        <v>11</v>
      </c>
    </row>
    <row r="15" spans="1:23" x14ac:dyDescent="0.25">
      <c r="Q15" s="8" t="s">
        <v>12</v>
      </c>
    </row>
    <row r="16" spans="1:23" x14ac:dyDescent="0.25">
      <c r="Q16" s="8" t="s">
        <v>13</v>
      </c>
    </row>
    <row r="20" spans="1:21" x14ac:dyDescent="0.25">
      <c r="R20" s="13" t="s">
        <v>35</v>
      </c>
    </row>
    <row r="21" spans="1:21" x14ac:dyDescent="0.25">
      <c r="R21" s="27" t="s">
        <v>58</v>
      </c>
    </row>
    <row r="22" spans="1:21" x14ac:dyDescent="0.25">
      <c r="R22" t="s">
        <v>34</v>
      </c>
      <c r="T22" s="3">
        <v>1200000000000</v>
      </c>
      <c r="U22" s="29" t="s">
        <v>59</v>
      </c>
    </row>
    <row r="23" spans="1:21" x14ac:dyDescent="0.25">
      <c r="R23" t="s">
        <v>36</v>
      </c>
      <c r="T23" s="28">
        <f>2</f>
        <v>2</v>
      </c>
      <c r="U23" s="29" t="s">
        <v>59</v>
      </c>
    </row>
    <row r="24" spans="1:21" x14ac:dyDescent="0.25">
      <c r="R24" t="s">
        <v>60</v>
      </c>
      <c r="T24" s="3">
        <f>0.5*T23*T22</f>
        <v>1200000000000</v>
      </c>
      <c r="U24" s="29" t="s">
        <v>61</v>
      </c>
    </row>
    <row r="25" spans="1:21" x14ac:dyDescent="0.25">
      <c r="R25" t="s">
        <v>37</v>
      </c>
      <c r="T25">
        <v>40</v>
      </c>
      <c r="U25" s="29" t="s">
        <v>62</v>
      </c>
    </row>
    <row r="26" spans="1:21" x14ac:dyDescent="0.25">
      <c r="R26" t="s">
        <v>64</v>
      </c>
      <c r="T26" s="3">
        <f>T24/T25</f>
        <v>30000000000</v>
      </c>
      <c r="U26" s="29" t="s">
        <v>67</v>
      </c>
    </row>
    <row r="27" spans="1:21" x14ac:dyDescent="0.25">
      <c r="A27" t="s">
        <v>26</v>
      </c>
      <c r="R27" t="s">
        <v>63</v>
      </c>
      <c r="T27" s="19">
        <f>1/0.1</f>
        <v>10</v>
      </c>
      <c r="U27" s="29" t="s">
        <v>93</v>
      </c>
    </row>
    <row r="28" spans="1:21" x14ac:dyDescent="0.25">
      <c r="A28" s="5" t="s">
        <v>23</v>
      </c>
      <c r="B28" s="16">
        <f>B1</f>
        <v>300000000</v>
      </c>
      <c r="C28" s="16">
        <f t="shared" ref="C28:L28" si="4">C1</f>
        <v>150000000</v>
      </c>
      <c r="D28" s="16">
        <f t="shared" si="4"/>
        <v>75000000</v>
      </c>
      <c r="E28" s="16">
        <f t="shared" si="4"/>
        <v>37500000</v>
      </c>
      <c r="F28" s="16">
        <f t="shared" si="4"/>
        <v>18750000</v>
      </c>
      <c r="G28" s="16">
        <f t="shared" si="4"/>
        <v>9375000</v>
      </c>
      <c r="H28" s="16">
        <f t="shared" si="4"/>
        <v>4687500</v>
      </c>
      <c r="I28" s="16">
        <f t="shared" si="4"/>
        <v>2343750</v>
      </c>
      <c r="J28" s="16">
        <f t="shared" si="4"/>
        <v>1171875</v>
      </c>
      <c r="K28" s="16">
        <f t="shared" si="4"/>
        <v>585937.5</v>
      </c>
      <c r="L28" s="16">
        <f t="shared" si="4"/>
        <v>292968.75</v>
      </c>
      <c r="R28" t="s">
        <v>65</v>
      </c>
      <c r="T28" s="3">
        <f>T26/T27</f>
        <v>3000000000</v>
      </c>
      <c r="U28" s="29" t="s">
        <v>68</v>
      </c>
    </row>
    <row r="29" spans="1:21" x14ac:dyDescent="0.25">
      <c r="A29" t="s">
        <v>25</v>
      </c>
      <c r="B29" s="12">
        <f>IF(ISNUMBER(B8),B1/B8,"---")</f>
        <v>937939659.21525705</v>
      </c>
      <c r="C29" s="12">
        <f t="shared" ref="C29:L29" si="5">IF(ISNUMBER(C8),C1/C8,"---")</f>
        <v>1327140013.2714002</v>
      </c>
      <c r="D29" s="12">
        <f t="shared" si="5"/>
        <v>1149865848.9842849</v>
      </c>
      <c r="E29" s="12">
        <f t="shared" si="5"/>
        <v>1321585903.0836999</v>
      </c>
      <c r="F29" s="12">
        <f t="shared" si="5"/>
        <v>1146788990.8256879</v>
      </c>
      <c r="G29" s="12">
        <f t="shared" si="5"/>
        <v>1209677419.3548377</v>
      </c>
      <c r="H29" s="12">
        <f t="shared" si="5"/>
        <v>1293103448.275861</v>
      </c>
      <c r="I29" s="12">
        <f t="shared" si="5"/>
        <v>1512096774.1935389</v>
      </c>
      <c r="J29" s="12">
        <f t="shared" si="5"/>
        <v>808189655.17241001</v>
      </c>
      <c r="K29" s="12">
        <f t="shared" si="5"/>
        <v>418526785.71428412</v>
      </c>
      <c r="L29" s="12">
        <f t="shared" si="5"/>
        <v>616776315.78946948</v>
      </c>
      <c r="R29" t="s">
        <v>45</v>
      </c>
      <c r="T29">
        <f>0.1</f>
        <v>0.1</v>
      </c>
      <c r="U29" s="29" t="s">
        <v>66</v>
      </c>
    </row>
    <row r="30" spans="1:21" x14ac:dyDescent="0.25">
      <c r="A30" t="s">
        <v>14</v>
      </c>
      <c r="B30" s="3"/>
      <c r="C30" s="12">
        <f>IF(COUNT(C29:G29)&gt;0,AVERAGE(C29:G29),"---")</f>
        <v>1231011635.1039822</v>
      </c>
      <c r="D30" s="3"/>
      <c r="E30" s="3"/>
      <c r="F30" s="3"/>
      <c r="G30" s="3"/>
      <c r="H30" s="3"/>
      <c r="I30" s="3"/>
      <c r="J30" s="3"/>
      <c r="K30" s="3"/>
      <c r="L30" s="3"/>
      <c r="R30" t="s">
        <v>90</v>
      </c>
      <c r="T30" s="3">
        <f>T28*T29</f>
        <v>300000000</v>
      </c>
      <c r="U30" s="29" t="s">
        <v>69</v>
      </c>
    </row>
    <row r="31" spans="1:21" x14ac:dyDescent="0.25">
      <c r="B31" s="3"/>
      <c r="C31" s="11" t="s">
        <v>57</v>
      </c>
      <c r="D31" s="3"/>
      <c r="E31" s="3"/>
      <c r="F31" s="3"/>
      <c r="G31" s="3"/>
      <c r="H31" s="3"/>
    </row>
    <row r="32" spans="1:21" x14ac:dyDescent="0.25">
      <c r="B32" s="3"/>
      <c r="C32" s="11" t="s">
        <v>18</v>
      </c>
      <c r="D32" s="3"/>
      <c r="E32" s="3"/>
      <c r="F32" s="3"/>
      <c r="G32" s="3"/>
      <c r="H32" s="3"/>
    </row>
    <row r="33" spans="2:8" x14ac:dyDescent="0.25">
      <c r="B33" s="3"/>
      <c r="C33" s="3"/>
      <c r="D33" s="3"/>
      <c r="E33" s="3"/>
      <c r="F33" s="3"/>
      <c r="G33" s="3"/>
      <c r="H33" s="3"/>
    </row>
    <row r="34" spans="2:8" x14ac:dyDescent="0.25">
      <c r="B34" s="3"/>
      <c r="D34" s="3"/>
      <c r="E34" s="3"/>
      <c r="F34" s="3"/>
      <c r="G34" s="3"/>
      <c r="H34" s="3"/>
    </row>
  </sheetData>
  <mergeCells count="1">
    <mergeCell ref="T2:V2"/>
  </mergeCells>
  <hyperlinks>
    <hyperlink ref="R21" r:id="rId1" xr:uid="{18F58391-9A08-8347-A086-12D8859DE942}"/>
  </hyperlinks>
  <pageMargins left="0.7" right="0.7" top="0.75" bottom="0.75" header="0.3" footer="0.3"/>
  <pageSetup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5"/>
  <sheetViews>
    <sheetView tabSelected="1" topLeftCell="A17" workbookViewId="0">
      <selection activeCell="C31" sqref="C31"/>
    </sheetView>
  </sheetViews>
  <sheetFormatPr defaultColWidth="8.85546875" defaultRowHeight="15" x14ac:dyDescent="0.25"/>
  <cols>
    <col min="1" max="1" width="17.42578125" customWidth="1"/>
    <col min="2" max="13" width="10.85546875" customWidth="1"/>
  </cols>
  <sheetData>
    <row r="1" spans="1:17" x14ac:dyDescent="0.25">
      <c r="A1" t="s">
        <v>96</v>
      </c>
      <c r="B1" s="1">
        <v>50</v>
      </c>
      <c r="C1" s="2">
        <v>25</v>
      </c>
      <c r="D1" s="2">
        <v>12.5</v>
      </c>
      <c r="E1" s="2">
        <v>6.25</v>
      </c>
      <c r="F1" s="2">
        <v>3.125</v>
      </c>
      <c r="G1" s="20">
        <v>1.5625</v>
      </c>
      <c r="H1" s="20">
        <v>0.78125</v>
      </c>
      <c r="I1" s="20">
        <v>0.390625</v>
      </c>
      <c r="J1" s="20">
        <v>0.1953125</v>
      </c>
      <c r="K1" s="21">
        <v>9.765625E-2</v>
      </c>
      <c r="L1" s="21">
        <v>4.8828125E-2</v>
      </c>
      <c r="M1" s="2">
        <v>0</v>
      </c>
    </row>
    <row r="2" spans="1:17" x14ac:dyDescent="0.25">
      <c r="A2" t="s">
        <v>0</v>
      </c>
      <c r="B2" s="22">
        <v>4.5660600660000004</v>
      </c>
      <c r="C2" s="22">
        <v>5.4465494159999999</v>
      </c>
      <c r="D2" s="22">
        <v>5.4216079710000002</v>
      </c>
      <c r="E2" s="22">
        <v>4.7867889400000001</v>
      </c>
      <c r="F2" s="22">
        <v>3.581508398</v>
      </c>
      <c r="G2" s="22">
        <v>2.2043733599999999</v>
      </c>
      <c r="H2" s="22">
        <v>1.32193172</v>
      </c>
      <c r="I2" s="22">
        <v>0.67027455570000005</v>
      </c>
      <c r="J2" s="22">
        <v>0.40832659599999999</v>
      </c>
      <c r="K2" s="22">
        <v>0.24561776220000001</v>
      </c>
      <c r="L2" s="22">
        <v>0.21025392409999999</v>
      </c>
      <c r="M2" s="22">
        <v>0.1889753491</v>
      </c>
      <c r="O2" s="8" t="s">
        <v>6</v>
      </c>
    </row>
    <row r="3" spans="1:17" x14ac:dyDescent="0.25">
      <c r="A3" t="s">
        <v>1</v>
      </c>
      <c r="B3" s="22">
        <v>4.9530696870000002</v>
      </c>
      <c r="C3" s="22">
        <v>5.6292953490000004</v>
      </c>
      <c r="D3" s="22">
        <v>5.2298126219999999</v>
      </c>
      <c r="E3" s="22">
        <v>4.6626482009999997</v>
      </c>
      <c r="F3" s="22">
        <v>3.4515397550000002</v>
      </c>
      <c r="G3" s="22">
        <v>2.2620711330000001</v>
      </c>
      <c r="H3" s="22">
        <v>1.238985658</v>
      </c>
      <c r="I3" s="22">
        <v>0.77583956720000002</v>
      </c>
      <c r="J3" s="22">
        <v>0.45216506719999999</v>
      </c>
      <c r="K3" s="22">
        <v>0.40186992290000001</v>
      </c>
      <c r="L3" s="22">
        <v>0.26465967299999998</v>
      </c>
      <c r="M3" s="22">
        <v>8.1989392640000006E-2</v>
      </c>
      <c r="O3" s="8" t="s">
        <v>5</v>
      </c>
    </row>
    <row r="4" spans="1:17" x14ac:dyDescent="0.25">
      <c r="A4" t="s">
        <v>2</v>
      </c>
      <c r="B4" s="22">
        <v>4.9776048660000001</v>
      </c>
      <c r="C4" s="22">
        <v>5.4772238729999998</v>
      </c>
      <c r="D4" s="22">
        <v>5.5062384609999997</v>
      </c>
      <c r="E4" s="22">
        <v>4.7937293050000003</v>
      </c>
      <c r="F4" s="22">
        <v>3.7596757410000001</v>
      </c>
      <c r="G4" s="22">
        <v>2.3128592970000001</v>
      </c>
      <c r="H4" s="22">
        <v>1.3644133810000001</v>
      </c>
      <c r="I4" s="22">
        <v>0.59246516230000001</v>
      </c>
      <c r="J4" s="22">
        <v>0.44612076880000001</v>
      </c>
      <c r="K4" s="22">
        <v>0.30517226460000002</v>
      </c>
      <c r="L4" s="22">
        <v>0.2957898974</v>
      </c>
      <c r="M4" s="22">
        <v>0.11578094210000001</v>
      </c>
    </row>
    <row r="5" spans="1:17" x14ac:dyDescent="0.25">
      <c r="A5" t="s">
        <v>3</v>
      </c>
      <c r="B5" s="22">
        <v>5.21113348</v>
      </c>
      <c r="C5" s="22">
        <v>5.6022410389999999</v>
      </c>
      <c r="D5" s="22">
        <v>5.6471056940000004</v>
      </c>
      <c r="E5" s="22">
        <v>4.731020451</v>
      </c>
      <c r="F5" s="22">
        <v>2.8380196089999998</v>
      </c>
      <c r="G5" s="22">
        <v>2.071107864</v>
      </c>
      <c r="H5" s="22">
        <v>1.2696696519999999</v>
      </c>
      <c r="I5" s="22">
        <v>0.76532500979999996</v>
      </c>
      <c r="J5" s="22">
        <v>0.49344944950000003</v>
      </c>
      <c r="K5" s="22">
        <v>0.27185553309999999</v>
      </c>
      <c r="L5" s="22">
        <v>0.1727058887</v>
      </c>
      <c r="M5" s="22">
        <v>9.0609550479999995E-2</v>
      </c>
      <c r="O5" s="4" t="s">
        <v>8</v>
      </c>
    </row>
    <row r="6" spans="1:17" x14ac:dyDescent="0.25">
      <c r="A6" t="s">
        <v>4</v>
      </c>
      <c r="B6" s="23">
        <f>IF(COUNTA(B2:B5)&gt;0,AVERAGE(B2:B5),"---")</f>
        <v>4.9269670247500006</v>
      </c>
      <c r="C6" s="23">
        <f>IF(COUNTA(C2:C5)&gt;0,AVERAGE(C2:C5),"---")</f>
        <v>5.5388274192499996</v>
      </c>
      <c r="D6" s="23">
        <f>IF(COUNTA(D2:D5)&gt;0,AVERAGE(D2:D5),"---")</f>
        <v>5.451191187</v>
      </c>
      <c r="E6" s="23">
        <f t="shared" ref="E6:M6" si="0">IF(COUNTA(E2:E5)&gt;0,AVERAGE(E2:E5),"---")</f>
        <v>4.7435467242499998</v>
      </c>
      <c r="F6" s="23">
        <f t="shared" si="0"/>
        <v>3.4076858757499999</v>
      </c>
      <c r="G6" s="23">
        <f t="shared" si="0"/>
        <v>2.2126029135</v>
      </c>
      <c r="H6" s="23">
        <f t="shared" si="0"/>
        <v>1.2987501027500001</v>
      </c>
      <c r="I6" s="23">
        <f t="shared" si="0"/>
        <v>0.70097607374999993</v>
      </c>
      <c r="J6" s="23">
        <f t="shared" si="0"/>
        <v>0.450015470375</v>
      </c>
      <c r="K6" s="23">
        <f t="shared" si="0"/>
        <v>0.3061288707</v>
      </c>
      <c r="L6" s="23">
        <f t="shared" si="0"/>
        <v>0.2358523458</v>
      </c>
      <c r="M6" s="23">
        <f t="shared" si="0"/>
        <v>0.11933880858000001</v>
      </c>
    </row>
    <row r="7" spans="1:17" x14ac:dyDescent="0.25">
      <c r="A7" t="s">
        <v>7</v>
      </c>
      <c r="B7" s="23">
        <f>IF(COUNTA(B2:B5)&gt;0,STDEV(B2:B5),"---")</f>
        <v>0.2672389362265673</v>
      </c>
      <c r="C7" s="23">
        <f t="shared" ref="C7:M7" si="1">IF(COUNTA(C2:C5)&gt;0,STDEV(C2:C5),"---")</f>
        <v>9.0399041804345728E-2</v>
      </c>
      <c r="D7" s="23">
        <f t="shared" si="1"/>
        <v>0.17444801722217632</v>
      </c>
      <c r="E7" s="23">
        <f t="shared" si="1"/>
        <v>6.0799285136324765E-2</v>
      </c>
      <c r="F7" s="23">
        <f t="shared" si="1"/>
        <v>0.40023074706066797</v>
      </c>
      <c r="G7" s="23">
        <f t="shared" si="1"/>
        <v>0.1042225531524025</v>
      </c>
      <c r="H7" s="23">
        <f t="shared" si="1"/>
        <v>5.5577318398070188E-2</v>
      </c>
      <c r="I7" s="23">
        <f t="shared" si="1"/>
        <v>8.6530398004766029E-2</v>
      </c>
      <c r="J7" s="23">
        <f t="shared" si="1"/>
        <v>3.4853322443988172E-2</v>
      </c>
      <c r="K7" s="23">
        <f t="shared" si="1"/>
        <v>6.8321592715958807E-2</v>
      </c>
      <c r="L7" s="23">
        <f t="shared" si="1"/>
        <v>5.4970071948360198E-2</v>
      </c>
      <c r="M7" s="23">
        <f t="shared" si="1"/>
        <v>4.8587568133966953E-2</v>
      </c>
    </row>
    <row r="8" spans="1:17" x14ac:dyDescent="0.25">
      <c r="A8" t="s">
        <v>38</v>
      </c>
      <c r="B8" s="23">
        <f>IF(AND(ISNUMBER(B6),ISNUMBER($M6)),B6-$M6,"---")</f>
        <v>4.8076282161700004</v>
      </c>
      <c r="C8" s="23">
        <f>IF(AND(ISNUMBER(C6),ISNUMBER($M6)),C6-$M6,"---")</f>
        <v>5.4194886106699993</v>
      </c>
      <c r="D8" s="23">
        <f>IF(AND(ISNUMBER(D6),ISNUMBER($M6)),D6-$M6,"---")</f>
        <v>5.3318523784199998</v>
      </c>
      <c r="E8" s="23">
        <f t="shared" ref="E8:L8" si="2">IF(AND(ISNUMBER(E6),ISNUMBER($M6)),E6-$M6,"---")</f>
        <v>4.6242079156699996</v>
      </c>
      <c r="F8" s="23">
        <f t="shared" si="2"/>
        <v>3.2883470671700001</v>
      </c>
      <c r="G8" s="23">
        <f t="shared" si="2"/>
        <v>2.0932641049200003</v>
      </c>
      <c r="H8" s="23">
        <f t="shared" si="2"/>
        <v>1.1794112941700001</v>
      </c>
      <c r="I8" s="23">
        <f t="shared" si="2"/>
        <v>0.58163726516999992</v>
      </c>
      <c r="J8" s="23">
        <f t="shared" si="2"/>
        <v>0.33067666179499999</v>
      </c>
      <c r="K8" s="23">
        <f t="shared" si="2"/>
        <v>0.18679006211999999</v>
      </c>
      <c r="L8" s="23">
        <f t="shared" si="2"/>
        <v>0.11651353721999999</v>
      </c>
      <c r="M8" s="24"/>
    </row>
    <row r="12" spans="1:17" x14ac:dyDescent="0.25">
      <c r="Q12" s="4" t="s">
        <v>9</v>
      </c>
    </row>
    <row r="13" spans="1:17" x14ac:dyDescent="0.25">
      <c r="Q13" s="4" t="s">
        <v>10</v>
      </c>
    </row>
    <row r="14" spans="1:17" x14ac:dyDescent="0.25">
      <c r="Q14" s="4" t="s">
        <v>11</v>
      </c>
    </row>
    <row r="15" spans="1:17" x14ac:dyDescent="0.25">
      <c r="Q15" s="4" t="s">
        <v>12</v>
      </c>
    </row>
    <row r="16" spans="1:17" x14ac:dyDescent="0.25">
      <c r="Q16" s="4" t="s">
        <v>13</v>
      </c>
    </row>
    <row r="21" spans="1:21" x14ac:dyDescent="0.25">
      <c r="R21" s="13" t="s">
        <v>43</v>
      </c>
    </row>
    <row r="22" spans="1:21" x14ac:dyDescent="0.25">
      <c r="R22" t="s">
        <v>40</v>
      </c>
      <c r="T22" s="3">
        <f>B1*0.000001</f>
        <v>4.9999999999999996E-5</v>
      </c>
      <c r="U22" s="4" t="s">
        <v>86</v>
      </c>
    </row>
    <row r="23" spans="1:21" x14ac:dyDescent="0.25">
      <c r="R23" t="s">
        <v>41</v>
      </c>
      <c r="T23" s="3">
        <v>6.0221409000000001E+23</v>
      </c>
      <c r="U23" s="4" t="s">
        <v>83</v>
      </c>
    </row>
    <row r="24" spans="1:21" x14ac:dyDescent="0.25">
      <c r="R24" t="s">
        <v>42</v>
      </c>
      <c r="T24" s="3">
        <f>0.0001</f>
        <v>1E-4</v>
      </c>
      <c r="U24" s="4" t="s">
        <v>87</v>
      </c>
    </row>
    <row r="25" spans="1:21" x14ac:dyDescent="0.25">
      <c r="R25" t="s">
        <v>89</v>
      </c>
      <c r="T25" s="3">
        <f>T22*T23*T24</f>
        <v>3011070450000000</v>
      </c>
      <c r="U25" s="4" t="s">
        <v>88</v>
      </c>
    </row>
    <row r="26" spans="1:21" x14ac:dyDescent="0.25">
      <c r="R26" t="s">
        <v>44</v>
      </c>
      <c r="T26" s="3">
        <f>T25/(T22*1000000)</f>
        <v>60221409000000.008</v>
      </c>
      <c r="U26" s="4" t="s">
        <v>91</v>
      </c>
    </row>
    <row r="27" spans="1:21" x14ac:dyDescent="0.25">
      <c r="A27" s="5" t="s">
        <v>27</v>
      </c>
      <c r="T27" s="3"/>
    </row>
    <row r="28" spans="1:21" x14ac:dyDescent="0.25">
      <c r="A28" t="s">
        <v>39</v>
      </c>
      <c r="B28" s="1">
        <f>B1</f>
        <v>50</v>
      </c>
      <c r="C28" s="1">
        <f t="shared" ref="C28:L28" si="3">C1</f>
        <v>25</v>
      </c>
      <c r="D28" s="1">
        <f t="shared" si="3"/>
        <v>12.5</v>
      </c>
      <c r="E28" s="1">
        <f t="shared" si="3"/>
        <v>6.25</v>
      </c>
      <c r="F28" s="1">
        <f t="shared" si="3"/>
        <v>3.125</v>
      </c>
      <c r="G28" s="1">
        <f t="shared" si="3"/>
        <v>1.5625</v>
      </c>
      <c r="H28" s="1">
        <f t="shared" si="3"/>
        <v>0.78125</v>
      </c>
      <c r="I28" s="1">
        <f t="shared" si="3"/>
        <v>0.390625</v>
      </c>
      <c r="J28" s="1">
        <f t="shared" si="3"/>
        <v>0.1953125</v>
      </c>
      <c r="K28" s="1">
        <f t="shared" si="3"/>
        <v>9.765625E-2</v>
      </c>
      <c r="L28" s="1">
        <f t="shared" si="3"/>
        <v>4.8828125E-2</v>
      </c>
    </row>
    <row r="29" spans="1:21" x14ac:dyDescent="0.25">
      <c r="A29" t="s">
        <v>46</v>
      </c>
      <c r="B29" s="40">
        <f>IF(ISNUMBER(B8),B1/B8,"---")</f>
        <v>10.400138644629331</v>
      </c>
      <c r="C29" s="40">
        <f t="shared" ref="C29:L29" si="4">IF(ISNUMBER(C8),C1/C8,"---")</f>
        <v>4.6129813707476925</v>
      </c>
      <c r="D29" s="40">
        <f t="shared" si="4"/>
        <v>2.3444009910312174</v>
      </c>
      <c r="E29" s="40">
        <f t="shared" si="4"/>
        <v>1.3515828254219924</v>
      </c>
      <c r="F29" s="40">
        <f t="shared" si="4"/>
        <v>0.9503254784749412</v>
      </c>
      <c r="G29" s="40">
        <f t="shared" si="4"/>
        <v>0.74644188295566993</v>
      </c>
      <c r="H29" s="40">
        <f t="shared" si="4"/>
        <v>0.66240674806306443</v>
      </c>
      <c r="I29" s="40">
        <f t="shared" si="4"/>
        <v>0.6715955517152582</v>
      </c>
      <c r="J29" s="40">
        <f t="shared" si="4"/>
        <v>0.59064494887480812</v>
      </c>
      <c r="K29" s="40">
        <f t="shared" si="4"/>
        <v>0.52281287822080413</v>
      </c>
      <c r="L29" s="40">
        <f t="shared" si="4"/>
        <v>0.41907684003965223</v>
      </c>
    </row>
    <row r="30" spans="1:21" x14ac:dyDescent="0.25">
      <c r="A30" t="s">
        <v>28</v>
      </c>
      <c r="B30" s="3"/>
      <c r="C30" s="40">
        <f>IF(COUNT(E29:L29)&gt;0,AVERAGE(E29:L29),"---")</f>
        <v>0.73936089422077389</v>
      </c>
      <c r="D30" s="3"/>
      <c r="E30" s="3"/>
      <c r="F30" s="3"/>
      <c r="G30" s="3"/>
      <c r="H30" s="3"/>
      <c r="I30" s="3"/>
      <c r="J30" s="3"/>
      <c r="K30" s="3"/>
      <c r="L30" s="3"/>
    </row>
    <row r="31" spans="1:21" x14ac:dyDescent="0.25">
      <c r="A31" t="s">
        <v>33</v>
      </c>
      <c r="B31" s="19"/>
      <c r="C31" s="12">
        <f>IF(COUNT(C30)&gt;0,C30 * T26,"---")</f>
        <v>44525354809474.969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1:21" x14ac:dyDescent="0.25">
      <c r="B32" s="3"/>
      <c r="C32" s="11" t="s">
        <v>17</v>
      </c>
      <c r="D32" s="3"/>
      <c r="E32" s="3"/>
      <c r="F32" s="3"/>
      <c r="G32" s="3"/>
      <c r="H32" s="3"/>
    </row>
    <row r="33" spans="2:8" x14ac:dyDescent="0.25">
      <c r="B33" s="3"/>
      <c r="C33" s="11" t="s">
        <v>18</v>
      </c>
      <c r="D33" s="3"/>
      <c r="E33" s="3"/>
      <c r="F33" s="3"/>
      <c r="G33" s="3"/>
      <c r="H33" s="3"/>
    </row>
    <row r="34" spans="2:8" x14ac:dyDescent="0.25">
      <c r="B34" s="3"/>
      <c r="C34" s="3"/>
      <c r="D34" s="3"/>
      <c r="E34" s="3"/>
      <c r="F34" s="3"/>
      <c r="G34" s="3"/>
      <c r="H34" s="3"/>
    </row>
    <row r="35" spans="2:8" x14ac:dyDescent="0.25">
      <c r="B35" s="3"/>
      <c r="D35" s="3"/>
      <c r="E35" s="3"/>
      <c r="F35" s="3"/>
      <c r="G35" s="3"/>
      <c r="H35" s="3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topLeftCell="A17" workbookViewId="0">
      <selection activeCell="F35" sqref="F35"/>
    </sheetView>
  </sheetViews>
  <sheetFormatPr defaultColWidth="11.42578125" defaultRowHeight="15" x14ac:dyDescent="0.25"/>
  <cols>
    <col min="1" max="1" width="5.140625" customWidth="1"/>
    <col min="2" max="13" width="9.85546875" customWidth="1"/>
    <col min="14" max="14" width="6.140625" customWidth="1"/>
    <col min="15" max="15" width="17.140625" customWidth="1"/>
    <col min="16" max="24" width="9.85546875" customWidth="1"/>
  </cols>
  <sheetData>
    <row r="1" spans="1:13" ht="18.75" x14ac:dyDescent="0.3">
      <c r="A1" s="10" t="s">
        <v>19</v>
      </c>
      <c r="E1" s="8" t="s">
        <v>78</v>
      </c>
    </row>
    <row r="2" spans="1:13" x14ac:dyDescent="0.25">
      <c r="E2" s="8" t="s">
        <v>56</v>
      </c>
    </row>
    <row r="4" spans="1:13" ht="15.75" x14ac:dyDescent="0.25">
      <c r="A4" s="14" t="s">
        <v>76</v>
      </c>
      <c r="D4" s="8" t="s">
        <v>77</v>
      </c>
    </row>
    <row r="5" spans="1:13" x14ac:dyDescent="0.25">
      <c r="A5" t="s">
        <v>70</v>
      </c>
      <c r="D5" s="26" t="s">
        <v>48</v>
      </c>
      <c r="F5" t="s">
        <v>74</v>
      </c>
      <c r="H5" s="34" t="str">
        <f ca="1">CONCATENATE(ADDRESS(COLUMN(INDIRECT((D5)&amp;1))+11,D6+1,4),":",ADDRESS(COLUMN(INDIRECT((D7)&amp;1))+11,D8+1,4))</f>
        <v>M12:M15</v>
      </c>
    </row>
    <row r="6" spans="1:13" x14ac:dyDescent="0.25">
      <c r="A6" t="s">
        <v>71</v>
      </c>
      <c r="D6" s="26">
        <v>12</v>
      </c>
      <c r="F6" t="s">
        <v>75</v>
      </c>
      <c r="H6" s="35" t="str">
        <f ca="1">CONCATENATE(ADDRESS(COLUMN(INDIRECT((D5)&amp;1))+23,D6+1,4),":",ADDRESS(COLUMN(INDIRECT((D7)&amp;1))+23,D8+1,4))</f>
        <v>M24:M27</v>
      </c>
    </row>
    <row r="7" spans="1:13" x14ac:dyDescent="0.25">
      <c r="A7" t="s">
        <v>72</v>
      </c>
      <c r="D7" s="26" t="s">
        <v>51</v>
      </c>
      <c r="F7" t="s">
        <v>79</v>
      </c>
      <c r="H7" s="12">
        <f ca="1">IF(COUNTA(INDIRECT(H5))&gt;0,AVERAGE(INDIRECT(H5)),"---")</f>
        <v>3.7724999999999995E-2</v>
      </c>
      <c r="L7" s="31"/>
    </row>
    <row r="8" spans="1:13" x14ac:dyDescent="0.25">
      <c r="A8" t="s">
        <v>73</v>
      </c>
      <c r="D8" s="26">
        <v>12</v>
      </c>
      <c r="F8" t="s">
        <v>80</v>
      </c>
      <c r="H8" s="12">
        <f ca="1">IF(COUNTA(INDIRECT(H6))&gt;0,AVERAGE(INDIRECT(H6)),"---")</f>
        <v>0.11933880858000001</v>
      </c>
    </row>
    <row r="10" spans="1:13" ht="15.75" x14ac:dyDescent="0.25">
      <c r="A10" s="14" t="s">
        <v>21</v>
      </c>
    </row>
    <row r="11" spans="1:13" x14ac:dyDescent="0.25">
      <c r="A11" s="13"/>
      <c r="B11" s="25">
        <v>1</v>
      </c>
      <c r="C11" s="25">
        <v>2</v>
      </c>
      <c r="D11" s="25">
        <v>3</v>
      </c>
      <c r="E11" s="25">
        <v>4</v>
      </c>
      <c r="F11" s="25">
        <v>5</v>
      </c>
      <c r="G11" s="25">
        <v>6</v>
      </c>
      <c r="H11" s="25">
        <v>7</v>
      </c>
      <c r="I11" s="25">
        <v>8</v>
      </c>
      <c r="J11" s="25">
        <v>9</v>
      </c>
      <c r="K11" s="25">
        <v>10</v>
      </c>
      <c r="L11" s="25">
        <v>11</v>
      </c>
      <c r="M11" s="25">
        <v>12</v>
      </c>
    </row>
    <row r="12" spans="1:13" x14ac:dyDescent="0.25">
      <c r="A12" s="25" t="s">
        <v>48</v>
      </c>
      <c r="B12" s="39">
        <v>0.4133</v>
      </c>
      <c r="C12" s="39">
        <v>0.15479999999999999</v>
      </c>
      <c r="D12" s="39">
        <v>9.4399999999999998E-2</v>
      </c>
      <c r="E12" s="39">
        <v>6.7000000000000004E-2</v>
      </c>
      <c r="F12" s="39">
        <v>5.3199999999999997E-2</v>
      </c>
      <c r="G12" s="39">
        <v>4.4499999999999998E-2</v>
      </c>
      <c r="H12" s="39">
        <v>4.1500000000000002E-2</v>
      </c>
      <c r="I12" s="39">
        <v>3.9300000000000002E-2</v>
      </c>
      <c r="J12" s="39">
        <v>3.85E-2</v>
      </c>
      <c r="K12" s="39">
        <v>3.9800000000000002E-2</v>
      </c>
      <c r="L12" s="39">
        <v>3.8399999999999997E-2</v>
      </c>
      <c r="M12" s="39">
        <v>3.7400000000000003E-2</v>
      </c>
    </row>
    <row r="13" spans="1:13" x14ac:dyDescent="0.25">
      <c r="A13" s="25" t="s">
        <v>49</v>
      </c>
      <c r="B13" s="39">
        <v>0.35780000000000001</v>
      </c>
      <c r="C13" s="39">
        <v>0.13950000000000001</v>
      </c>
      <c r="D13" s="39">
        <v>0.12520000000000001</v>
      </c>
      <c r="E13" s="39">
        <v>6.5299999999999997E-2</v>
      </c>
      <c r="F13" s="39">
        <v>5.1400000000000001E-2</v>
      </c>
      <c r="G13" s="39">
        <v>4.4600000000000001E-2</v>
      </c>
      <c r="H13" s="39">
        <v>4.1099999999999998E-2</v>
      </c>
      <c r="I13" s="39">
        <v>3.9E-2</v>
      </c>
      <c r="J13" s="39">
        <v>3.8699999999999998E-2</v>
      </c>
      <c r="K13" s="39">
        <v>0.04</v>
      </c>
      <c r="L13" s="39">
        <v>3.73E-2</v>
      </c>
      <c r="M13" s="39">
        <v>3.7499999999999999E-2</v>
      </c>
    </row>
    <row r="14" spans="1:13" x14ac:dyDescent="0.25">
      <c r="A14" s="25" t="s">
        <v>50</v>
      </c>
      <c r="B14" s="39">
        <v>0.3569</v>
      </c>
      <c r="C14" s="39">
        <v>0.1547</v>
      </c>
      <c r="D14" s="39">
        <v>9.6199999999999994E-2</v>
      </c>
      <c r="E14" s="39">
        <v>6.6000000000000003E-2</v>
      </c>
      <c r="F14" s="39">
        <v>5.2200000000000003E-2</v>
      </c>
      <c r="G14" s="39">
        <v>4.58E-2</v>
      </c>
      <c r="H14" s="39">
        <v>4.1399999999999999E-2</v>
      </c>
      <c r="I14" s="39">
        <v>3.9699999999999999E-2</v>
      </c>
      <c r="J14" s="39">
        <v>4.0800000000000003E-2</v>
      </c>
      <c r="K14" s="39">
        <v>3.8100000000000002E-2</v>
      </c>
      <c r="L14" s="39">
        <v>3.85E-2</v>
      </c>
      <c r="M14" s="39">
        <v>3.8100000000000002E-2</v>
      </c>
    </row>
    <row r="15" spans="1:13" x14ac:dyDescent="0.25">
      <c r="A15" s="25" t="s">
        <v>51</v>
      </c>
      <c r="B15" s="39">
        <v>0.30230000000000001</v>
      </c>
      <c r="C15" s="39">
        <v>0.154</v>
      </c>
      <c r="D15" s="39">
        <v>9.6000000000000002E-2</v>
      </c>
      <c r="E15" s="39">
        <v>6.6100000000000006E-2</v>
      </c>
      <c r="F15" s="39">
        <v>5.9499999999999997E-2</v>
      </c>
      <c r="G15" s="39">
        <v>4.7E-2</v>
      </c>
      <c r="H15" s="39">
        <v>4.1399999999999999E-2</v>
      </c>
      <c r="I15" s="39">
        <v>3.9100000000000003E-2</v>
      </c>
      <c r="J15" s="39">
        <v>3.8699999999999998E-2</v>
      </c>
      <c r="K15" s="39">
        <v>3.8600000000000002E-2</v>
      </c>
      <c r="L15" s="39">
        <v>3.8600000000000002E-2</v>
      </c>
      <c r="M15" s="39">
        <v>3.7900000000000003E-2</v>
      </c>
    </row>
    <row r="16" spans="1:13" x14ac:dyDescent="0.25">
      <c r="A16" s="25" t="s">
        <v>52</v>
      </c>
      <c r="B16" s="39">
        <v>4.6100000000000002E-2</v>
      </c>
      <c r="C16" s="39">
        <v>4.6100000000000002E-2</v>
      </c>
      <c r="D16" s="39">
        <v>4.5999999999999999E-2</v>
      </c>
      <c r="E16" s="39">
        <v>4.6100000000000002E-2</v>
      </c>
      <c r="F16" s="39">
        <v>4.6199999999999998E-2</v>
      </c>
      <c r="G16" s="39">
        <v>4.5900000000000003E-2</v>
      </c>
      <c r="H16" s="39">
        <v>4.5999999999999999E-2</v>
      </c>
      <c r="I16" s="39">
        <v>4.6100000000000002E-2</v>
      </c>
      <c r="J16" s="39">
        <v>4.6300000000000001E-2</v>
      </c>
      <c r="K16" s="39">
        <v>4.6899999999999997E-2</v>
      </c>
      <c r="L16" s="39">
        <v>4.5999999999999999E-2</v>
      </c>
      <c r="M16" s="39">
        <v>4.6100000000000002E-2</v>
      </c>
    </row>
    <row r="17" spans="1:13" x14ac:dyDescent="0.25">
      <c r="A17" s="25" t="s">
        <v>53</v>
      </c>
      <c r="B17" s="39">
        <v>4.6100000000000002E-2</v>
      </c>
      <c r="C17" s="39">
        <v>4.6100000000000002E-2</v>
      </c>
      <c r="D17" s="39">
        <v>4.5999999999999999E-2</v>
      </c>
      <c r="E17" s="39">
        <v>4.5900000000000003E-2</v>
      </c>
      <c r="F17" s="39">
        <v>4.6199999999999998E-2</v>
      </c>
      <c r="G17" s="39">
        <v>4.5999999999999999E-2</v>
      </c>
      <c r="H17" s="39">
        <v>4.6100000000000002E-2</v>
      </c>
      <c r="I17" s="39">
        <v>4.6199999999999998E-2</v>
      </c>
      <c r="J17" s="39">
        <v>4.8300000000000003E-2</v>
      </c>
      <c r="K17" s="39">
        <v>4.5999999999999999E-2</v>
      </c>
      <c r="L17" s="39">
        <v>4.5900000000000003E-2</v>
      </c>
      <c r="M17" s="39">
        <v>4.5900000000000003E-2</v>
      </c>
    </row>
    <row r="18" spans="1:13" x14ac:dyDescent="0.25">
      <c r="A18" s="25" t="s">
        <v>54</v>
      </c>
      <c r="B18" s="39">
        <v>4.5400000000000003E-2</v>
      </c>
      <c r="C18" s="39">
        <v>4.5900000000000003E-2</v>
      </c>
      <c r="D18" s="39">
        <v>4.5600000000000002E-2</v>
      </c>
      <c r="E18" s="39">
        <v>4.5999999999999999E-2</v>
      </c>
      <c r="F18" s="39">
        <v>4.6300000000000001E-2</v>
      </c>
      <c r="G18" s="39">
        <v>4.58E-2</v>
      </c>
      <c r="H18" s="39">
        <v>4.5999999999999999E-2</v>
      </c>
      <c r="I18" s="39">
        <v>4.58E-2</v>
      </c>
      <c r="J18" s="39">
        <v>4.6600000000000003E-2</v>
      </c>
      <c r="K18" s="39">
        <v>4.5900000000000003E-2</v>
      </c>
      <c r="L18" s="39">
        <v>4.5600000000000002E-2</v>
      </c>
      <c r="M18" s="39">
        <v>4.5699999999999998E-2</v>
      </c>
    </row>
    <row r="19" spans="1:13" x14ac:dyDescent="0.25">
      <c r="A19" s="25" t="s">
        <v>55</v>
      </c>
      <c r="B19" s="39">
        <v>4.5699999999999998E-2</v>
      </c>
      <c r="C19" s="39">
        <v>4.6399999999999997E-2</v>
      </c>
      <c r="D19" s="39">
        <v>4.6600000000000003E-2</v>
      </c>
      <c r="E19" s="39">
        <v>4.5600000000000002E-2</v>
      </c>
      <c r="F19" s="39">
        <v>4.5699999999999998E-2</v>
      </c>
      <c r="G19" s="39">
        <v>4.5999999999999999E-2</v>
      </c>
      <c r="H19" s="39">
        <v>4.6199999999999998E-2</v>
      </c>
      <c r="I19" s="39">
        <v>4.5699999999999998E-2</v>
      </c>
      <c r="J19" s="39">
        <v>4.58E-2</v>
      </c>
      <c r="K19" s="39">
        <v>4.6199999999999998E-2</v>
      </c>
      <c r="L19" s="39">
        <v>4.5900000000000003E-2</v>
      </c>
      <c r="M19" s="39">
        <v>4.5999999999999999E-2</v>
      </c>
    </row>
    <row r="22" spans="1:13" ht="15.75" x14ac:dyDescent="0.25">
      <c r="A22" s="14" t="s">
        <v>20</v>
      </c>
    </row>
    <row r="23" spans="1:13" x14ac:dyDescent="0.25">
      <c r="A23" s="13"/>
      <c r="B23" s="25">
        <v>1</v>
      </c>
      <c r="C23" s="25">
        <v>2</v>
      </c>
      <c r="D23" s="25">
        <v>3</v>
      </c>
      <c r="E23" s="25">
        <v>4</v>
      </c>
      <c r="F23" s="25">
        <v>5</v>
      </c>
      <c r="G23" s="25">
        <v>6</v>
      </c>
      <c r="H23" s="25">
        <v>7</v>
      </c>
      <c r="I23" s="25">
        <v>8</v>
      </c>
      <c r="J23" s="25">
        <v>9</v>
      </c>
      <c r="K23" s="25">
        <v>10</v>
      </c>
      <c r="L23" s="25">
        <v>11</v>
      </c>
      <c r="M23" s="25">
        <v>12</v>
      </c>
    </row>
    <row r="24" spans="1:13" x14ac:dyDescent="0.25">
      <c r="A24" s="25" t="s">
        <v>48</v>
      </c>
      <c r="B24" s="26">
        <v>4.5660600660000004</v>
      </c>
      <c r="C24" s="26">
        <v>5.4465494159999999</v>
      </c>
      <c r="D24" s="26">
        <v>5.4216079710000002</v>
      </c>
      <c r="E24" s="26">
        <v>4.7867889400000001</v>
      </c>
      <c r="F24" s="26">
        <v>3.581508398</v>
      </c>
      <c r="G24" s="26">
        <v>2.2043733599999999</v>
      </c>
      <c r="H24" s="26">
        <v>1.32193172</v>
      </c>
      <c r="I24" s="26">
        <v>0.67027455570000005</v>
      </c>
      <c r="J24" s="26">
        <v>0.40832659599999999</v>
      </c>
      <c r="K24" s="26">
        <v>0.24561776220000001</v>
      </c>
      <c r="L24" s="26">
        <v>0.21025392409999999</v>
      </c>
      <c r="M24" s="26">
        <v>0.1889753491</v>
      </c>
    </row>
    <row r="25" spans="1:13" x14ac:dyDescent="0.25">
      <c r="A25" s="25" t="s">
        <v>49</v>
      </c>
      <c r="B25" s="26">
        <v>4.9530696870000002</v>
      </c>
      <c r="C25" s="26">
        <v>5.6292953490000004</v>
      </c>
      <c r="D25" s="26">
        <v>5.2298126219999999</v>
      </c>
      <c r="E25" s="26">
        <v>4.6626482009999997</v>
      </c>
      <c r="F25" s="26">
        <v>3.4515397550000002</v>
      </c>
      <c r="G25" s="26">
        <v>2.2620711330000001</v>
      </c>
      <c r="H25" s="26">
        <v>1.238985658</v>
      </c>
      <c r="I25" s="26">
        <v>0.77583956720000002</v>
      </c>
      <c r="J25" s="26">
        <v>0.45216506719999999</v>
      </c>
      <c r="K25" s="26">
        <v>0.40186992290000001</v>
      </c>
      <c r="L25" s="26">
        <v>0.26465967299999998</v>
      </c>
      <c r="M25" s="26">
        <v>8.1989392640000006E-2</v>
      </c>
    </row>
    <row r="26" spans="1:13" x14ac:dyDescent="0.25">
      <c r="A26" s="25" t="s">
        <v>50</v>
      </c>
      <c r="B26" s="26">
        <v>4.9776048660000001</v>
      </c>
      <c r="C26" s="26">
        <v>5.4772238729999998</v>
      </c>
      <c r="D26" s="26">
        <v>5.5062384609999997</v>
      </c>
      <c r="E26" s="26">
        <v>4.7937293050000003</v>
      </c>
      <c r="F26" s="26">
        <v>3.7596757410000001</v>
      </c>
      <c r="G26" s="26">
        <v>2.3128592970000001</v>
      </c>
      <c r="H26" s="26">
        <v>1.3644133810000001</v>
      </c>
      <c r="I26" s="26">
        <v>0.59246516230000001</v>
      </c>
      <c r="J26" s="26">
        <v>0.44612076880000001</v>
      </c>
      <c r="K26" s="26">
        <v>0.30517226460000002</v>
      </c>
      <c r="L26" s="26">
        <v>0.2957898974</v>
      </c>
      <c r="M26" s="26">
        <v>0.11578094210000001</v>
      </c>
    </row>
    <row r="27" spans="1:13" x14ac:dyDescent="0.25">
      <c r="A27" s="25" t="s">
        <v>51</v>
      </c>
      <c r="B27" s="26">
        <v>5.21113348</v>
      </c>
      <c r="C27" s="26">
        <v>5.6022410389999999</v>
      </c>
      <c r="D27" s="26">
        <v>5.6471056940000004</v>
      </c>
      <c r="E27" s="26">
        <v>4.731020451</v>
      </c>
      <c r="F27" s="26">
        <v>2.8380196089999998</v>
      </c>
      <c r="G27" s="26">
        <v>2.071107864</v>
      </c>
      <c r="H27" s="26">
        <v>1.2696696519999999</v>
      </c>
      <c r="I27" s="26">
        <v>0.76532500979999996</v>
      </c>
      <c r="J27" s="26">
        <v>0.49344944950000003</v>
      </c>
      <c r="K27" s="26">
        <v>0.27185553309999999</v>
      </c>
      <c r="L27" s="26">
        <v>0.1727058887</v>
      </c>
      <c r="M27" s="26">
        <v>9.0609550479999995E-2</v>
      </c>
    </row>
    <row r="28" spans="1:13" x14ac:dyDescent="0.25">
      <c r="A28" s="25" t="s">
        <v>52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x14ac:dyDescent="0.25">
      <c r="A29" s="25" t="s">
        <v>53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5">
      <c r="A30" s="25" t="s">
        <v>54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x14ac:dyDescent="0.25">
      <c r="A31" s="25" t="s">
        <v>55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</sheetData>
  <conditionalFormatting sqref="B12:M19">
    <cfRule type="expression" dxfId="2" priority="2">
      <formula>AND(ROW()&gt;=CELL("row",INDIRECT($H$5)),ROW()&lt;=(CELL("row",INDIRECT($H$5))+ROWS(INDIRECT($H$5))-1),COLUMN()&gt;=CELL("col",INDIRECT($H$5)),COLUMN()&lt;=(CELL("col",INDIRECT($H$5))+COLUMNS(INDIRECT($H$5))-1))</formula>
    </cfRule>
  </conditionalFormatting>
  <conditionalFormatting sqref="B24:M31">
    <cfRule type="expression" dxfId="1" priority="1">
      <formula>AND(ROW()&gt;=CELL("row",INDIRECT($H$6)),ROW()&lt;=(CELL("row",INDIRECT($H$6))+ROWS(INDIRECT($H$6))-1),COLUMN()&gt;=CELL("col",INDIRECT($H$6)),COLUMN()&lt;=(CELL("col",INDIRECT($H$6))+COLUMNS(INDIRECT($H$6))-1))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2"/>
  <sheetViews>
    <sheetView workbookViewId="0">
      <selection activeCell="C12" sqref="C12"/>
    </sheetView>
  </sheetViews>
  <sheetFormatPr defaultColWidth="11.42578125" defaultRowHeight="15" x14ac:dyDescent="0.25"/>
  <cols>
    <col min="1" max="1" width="5.140625" customWidth="1"/>
    <col min="2" max="13" width="9.85546875" customWidth="1"/>
    <col min="14" max="23" width="9.7109375" customWidth="1"/>
    <col min="25" max="30" width="10.85546875" customWidth="1"/>
  </cols>
  <sheetData>
    <row r="1" spans="1:14" ht="18.75" x14ac:dyDescent="0.3">
      <c r="A1" s="9" t="s">
        <v>15</v>
      </c>
      <c r="B1" s="32"/>
      <c r="C1" s="32"/>
      <c r="D1" s="4" t="s">
        <v>81</v>
      </c>
      <c r="H1" s="8" t="s">
        <v>22</v>
      </c>
      <c r="M1" s="8"/>
    </row>
    <row r="2" spans="1:14" x14ac:dyDescent="0.25">
      <c r="A2" t="s">
        <v>26</v>
      </c>
      <c r="D2" s="12">
        <f>'Particle standard curve'!C30</f>
        <v>1231011635.1039822</v>
      </c>
      <c r="H2" s="8" t="s">
        <v>47</v>
      </c>
      <c r="M2" s="8"/>
    </row>
    <row r="3" spans="1:14" x14ac:dyDescent="0.25">
      <c r="A3" s="7" t="s">
        <v>32</v>
      </c>
      <c r="B3" s="7"/>
      <c r="C3" s="7"/>
      <c r="D3" s="12">
        <f>'Fluorescein standard curve'!C31</f>
        <v>44525354809474.969</v>
      </c>
      <c r="M3" s="8"/>
    </row>
    <row r="4" spans="1:14" x14ac:dyDescent="0.25">
      <c r="A4" t="s">
        <v>79</v>
      </c>
      <c r="D4" s="12">
        <f ca="1">'Raw Plate Reader Measurements'!H7</f>
        <v>3.7724999999999995E-2</v>
      </c>
      <c r="M4" s="8"/>
    </row>
    <row r="5" spans="1:14" x14ac:dyDescent="0.25">
      <c r="A5" t="s">
        <v>80</v>
      </c>
      <c r="D5" s="12">
        <f ca="1">'Raw Plate Reader Measurements'!H8</f>
        <v>0.11933880858000001</v>
      </c>
    </row>
    <row r="6" spans="1:14" x14ac:dyDescent="0.25">
      <c r="A6" t="s">
        <v>82</v>
      </c>
      <c r="D6" s="30" t="b">
        <f ca="1">AND(ISNUMBER(D2),ISNUMBER(D3),ISNUMBER(D4),ISNUMBER(D5))</f>
        <v>1</v>
      </c>
    </row>
    <row r="7" spans="1:14" x14ac:dyDescent="0.25">
      <c r="A7" t="s">
        <v>84</v>
      </c>
      <c r="D7" s="34" t="str">
        <f ca="1">'Raw Plate Reader Measurements'!H5</f>
        <v>M12:M15</v>
      </c>
      <c r="E7" s="4" t="s">
        <v>85</v>
      </c>
    </row>
    <row r="9" spans="1:14" ht="18.75" x14ac:dyDescent="0.3">
      <c r="A9" s="10" t="s">
        <v>16</v>
      </c>
      <c r="B9" s="10"/>
      <c r="C9" s="10"/>
    </row>
    <row r="10" spans="1:14" ht="15.75" x14ac:dyDescent="0.25">
      <c r="A10" s="15" t="s">
        <v>31</v>
      </c>
      <c r="B10" s="15"/>
      <c r="C10" s="15"/>
    </row>
    <row r="11" spans="1:14" s="6" customFormat="1" x14ac:dyDescent="0.25">
      <c r="A11" s="13"/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  <c r="K11" s="33">
        <v>10</v>
      </c>
      <c r="L11" s="33">
        <v>11</v>
      </c>
      <c r="M11" s="33">
        <v>12</v>
      </c>
      <c r="N11"/>
    </row>
    <row r="12" spans="1:14" x14ac:dyDescent="0.25">
      <c r="A12" s="25" t="s">
        <v>48</v>
      </c>
      <c r="B12" s="30">
        <f ca="1">IF(AND($D$6,ISNUMBER(B45),ISNUMBER(B34)),(B45*$D$3)/(B34*$D$2),"---")</f>
        <v>428241.21426766698</v>
      </c>
      <c r="C12" s="30">
        <f t="shared" ref="C12:M12" ca="1" si="0">IF(AND($D$6,ISNUMBER(C45),ISNUMBER(C34)),(C45*$D$3)/(C34*$D$2),"---")</f>
        <v>1645814.6785288276</v>
      </c>
      <c r="D12" s="30">
        <f t="shared" ca="1" si="0"/>
        <v>3383884.0446658898</v>
      </c>
      <c r="E12" s="30">
        <f t="shared" ca="1" si="0"/>
        <v>5766708.6991720609</v>
      </c>
      <c r="F12" s="30">
        <f t="shared" ca="1" si="0"/>
        <v>8092131.1129227281</v>
      </c>
      <c r="G12" s="30">
        <f t="shared" ca="1" si="0"/>
        <v>11131384.585670179</v>
      </c>
      <c r="H12" s="30">
        <f t="shared" ca="1" si="0"/>
        <v>11522505.253338616</v>
      </c>
      <c r="I12" s="30">
        <f t="shared" ca="1" si="0"/>
        <v>12652187.671784915</v>
      </c>
      <c r="J12" s="30">
        <f t="shared" ca="1" si="0"/>
        <v>13487237.916494288</v>
      </c>
      <c r="K12" s="30">
        <f t="shared" ca="1" si="0"/>
        <v>2201192.9068735861</v>
      </c>
      <c r="L12" s="30">
        <f t="shared" ca="1" si="0"/>
        <v>4871666.5348718222</v>
      </c>
      <c r="M12" s="30">
        <f t="shared" ca="1" si="0"/>
        <v>-7749952.8053933969</v>
      </c>
    </row>
    <row r="13" spans="1:14" x14ac:dyDescent="0.25">
      <c r="A13" s="25" t="s">
        <v>49</v>
      </c>
      <c r="B13" s="30">
        <f t="shared" ref="B13:M13" ca="1" si="1">IF(AND($D$6,ISNUMBER(B46),ISNUMBER(B35)),(B46*$D$3)/(B35*$D$2),"---")</f>
        <v>546230.4972184418</v>
      </c>
      <c r="C13" s="30">
        <f t="shared" ca="1" si="1"/>
        <v>1958178.5703834074</v>
      </c>
      <c r="D13" s="30">
        <f t="shared" ca="1" si="1"/>
        <v>2113111.6640520329</v>
      </c>
      <c r="E13" s="30">
        <f t="shared" ca="1" si="1"/>
        <v>5959392.947439027</v>
      </c>
      <c r="F13" s="30">
        <f t="shared" ca="1" si="1"/>
        <v>8813513.6111901551</v>
      </c>
      <c r="G13" s="30">
        <f t="shared" ca="1" si="1"/>
        <v>11273024.475261701</v>
      </c>
      <c r="H13" s="30">
        <f t="shared" ca="1" si="1"/>
        <v>11999206.19579299</v>
      </c>
      <c r="I13" s="30">
        <f t="shared" ca="1" si="1"/>
        <v>18623884.888375398</v>
      </c>
      <c r="J13" s="30">
        <f t="shared" ca="1" si="1"/>
        <v>12346907.612198083</v>
      </c>
      <c r="K13" s="30">
        <f t="shared" ca="1" si="1"/>
        <v>4491900.3436263073</v>
      </c>
      <c r="L13" s="30">
        <f t="shared" ca="1" si="1"/>
        <v>-12367567.052899126</v>
      </c>
      <c r="M13" s="30">
        <f t="shared" ca="1" si="1"/>
        <v>6004080.7963957163</v>
      </c>
    </row>
    <row r="14" spans="1:14" x14ac:dyDescent="0.25">
      <c r="A14" s="25" t="s">
        <v>50</v>
      </c>
      <c r="B14" s="30">
        <f t="shared" ref="B14:M14" ca="1" si="2">IF(AND($D$6,ISNUMBER(B47),ISNUMBER(B36)),(B47*$D$3)/(B36*$D$2),"---")</f>
        <v>550551.13064680924</v>
      </c>
      <c r="C14" s="30">
        <f t="shared" ca="1" si="2"/>
        <v>1656706.4776676334</v>
      </c>
      <c r="D14" s="30">
        <f t="shared" ca="1" si="2"/>
        <v>3332068.2334835208</v>
      </c>
      <c r="E14" s="30">
        <f t="shared" ca="1" si="2"/>
        <v>5979537.6932195872</v>
      </c>
      <c r="F14" s="30">
        <f t="shared" ca="1" si="2"/>
        <v>9096372.5826609191</v>
      </c>
      <c r="G14" s="30">
        <f t="shared" ca="1" si="2"/>
        <v>9825267.7765369322</v>
      </c>
      <c r="H14" s="30">
        <f t="shared" ca="1" si="2"/>
        <v>12254151.677115953</v>
      </c>
      <c r="I14" s="30">
        <f t="shared" ca="1" si="2"/>
        <v>8664734.7157480475</v>
      </c>
      <c r="J14" s="30">
        <f t="shared" ca="1" si="2"/>
        <v>3843777.0077047022</v>
      </c>
      <c r="K14" s="30">
        <f t="shared" ca="1" si="2"/>
        <v>17924121.004889078</v>
      </c>
      <c r="L14" s="30">
        <f t="shared" ca="1" si="2"/>
        <v>8235080.9243058823</v>
      </c>
      <c r="M14" s="30">
        <f t="shared" ca="1" si="2"/>
        <v>-343165.49168571428</v>
      </c>
    </row>
    <row r="15" spans="1:14" x14ac:dyDescent="0.25">
      <c r="A15" s="25" t="s">
        <v>51</v>
      </c>
      <c r="B15" s="30">
        <f t="shared" ref="B15:M15" ca="1" si="3">IF(AND($D$6,ISNUMBER(B48),ISNUMBER(B37)),(B48*$D$3)/(B37*$D$2),"---")</f>
        <v>696093.06754493946</v>
      </c>
      <c r="C15" s="30">
        <f t="shared" ca="1" si="3"/>
        <v>1705569.3570686043</v>
      </c>
      <c r="D15" s="30">
        <f t="shared" ca="1" si="3"/>
        <v>3430936.4104279391</v>
      </c>
      <c r="E15" s="30">
        <f t="shared" ca="1" si="3"/>
        <v>5878529.2033265885</v>
      </c>
      <c r="F15" s="30">
        <f t="shared" ca="1" si="3"/>
        <v>4515910.099944423</v>
      </c>
      <c r="G15" s="30">
        <f t="shared" ca="1" si="3"/>
        <v>7611315.7903397949</v>
      </c>
      <c r="H15" s="30">
        <f t="shared" ca="1" si="3"/>
        <v>11321674.176298492</v>
      </c>
      <c r="I15" s="30">
        <f t="shared" ca="1" si="3"/>
        <v>16992832.408512626</v>
      </c>
      <c r="J15" s="30">
        <f t="shared" ca="1" si="3"/>
        <v>13878440.779677961</v>
      </c>
      <c r="K15" s="30">
        <f t="shared" ca="1" si="3"/>
        <v>6304558.0491744075</v>
      </c>
      <c r="L15" s="30">
        <f t="shared" ca="1" si="3"/>
        <v>2206025.9659415972</v>
      </c>
      <c r="M15" s="30">
        <f t="shared" ca="1" si="3"/>
        <v>-5937882.418180488</v>
      </c>
    </row>
    <row r="16" spans="1:14" x14ac:dyDescent="0.25">
      <c r="A16" s="25" t="s">
        <v>52</v>
      </c>
      <c r="B16" s="30" t="str">
        <f t="shared" ref="B16:M16" ca="1" si="4">IF(AND($D$6,ISNUMBER(B49),ISNUMBER(B38)),(B49*$D$3)/(B38*$D$2),"---")</f>
        <v>---</v>
      </c>
      <c r="C16" s="30" t="str">
        <f t="shared" ca="1" si="4"/>
        <v>---</v>
      </c>
      <c r="D16" s="30" t="str">
        <f t="shared" ca="1" si="4"/>
        <v>---</v>
      </c>
      <c r="E16" s="30" t="str">
        <f t="shared" ca="1" si="4"/>
        <v>---</v>
      </c>
      <c r="F16" s="30" t="str">
        <f t="shared" ca="1" si="4"/>
        <v>---</v>
      </c>
      <c r="G16" s="30" t="str">
        <f t="shared" ca="1" si="4"/>
        <v>---</v>
      </c>
      <c r="H16" s="30" t="str">
        <f t="shared" ca="1" si="4"/>
        <v>---</v>
      </c>
      <c r="I16" s="30" t="str">
        <f t="shared" ca="1" si="4"/>
        <v>---</v>
      </c>
      <c r="J16" s="30" t="str">
        <f t="shared" ca="1" si="4"/>
        <v>---</v>
      </c>
      <c r="K16" s="30" t="str">
        <f t="shared" ca="1" si="4"/>
        <v>---</v>
      </c>
      <c r="L16" s="30" t="str">
        <f t="shared" ca="1" si="4"/>
        <v>---</v>
      </c>
      <c r="M16" s="30" t="str">
        <f t="shared" ca="1" si="4"/>
        <v>---</v>
      </c>
    </row>
    <row r="17" spans="1:13" x14ac:dyDescent="0.25">
      <c r="A17" s="25" t="s">
        <v>53</v>
      </c>
      <c r="B17" s="30" t="str">
        <f t="shared" ref="B17:M17" ca="1" si="5">IF(AND($D$6,ISNUMBER(B50),ISNUMBER(B39)),(B50*$D$3)/(B39*$D$2),"---")</f>
        <v>---</v>
      </c>
      <c r="C17" s="30" t="str">
        <f t="shared" ca="1" si="5"/>
        <v>---</v>
      </c>
      <c r="D17" s="30" t="str">
        <f t="shared" ca="1" si="5"/>
        <v>---</v>
      </c>
      <c r="E17" s="30" t="str">
        <f t="shared" ca="1" si="5"/>
        <v>---</v>
      </c>
      <c r="F17" s="30" t="str">
        <f t="shared" ca="1" si="5"/>
        <v>---</v>
      </c>
      <c r="G17" s="30" t="str">
        <f t="shared" ca="1" si="5"/>
        <v>---</v>
      </c>
      <c r="H17" s="30" t="str">
        <f t="shared" ca="1" si="5"/>
        <v>---</v>
      </c>
      <c r="I17" s="30" t="str">
        <f t="shared" ca="1" si="5"/>
        <v>---</v>
      </c>
      <c r="J17" s="30" t="str">
        <f t="shared" ca="1" si="5"/>
        <v>---</v>
      </c>
      <c r="K17" s="30" t="str">
        <f t="shared" ca="1" si="5"/>
        <v>---</v>
      </c>
      <c r="L17" s="30" t="str">
        <f t="shared" ca="1" si="5"/>
        <v>---</v>
      </c>
      <c r="M17" s="30" t="str">
        <f t="shared" ca="1" si="5"/>
        <v>---</v>
      </c>
    </row>
    <row r="18" spans="1:13" x14ac:dyDescent="0.25">
      <c r="A18" s="25" t="s">
        <v>54</v>
      </c>
      <c r="B18" s="30" t="str">
        <f t="shared" ref="B18:M18" ca="1" si="6">IF(AND($D$6,ISNUMBER(B51),ISNUMBER(B40)),(B51*$D$3)/(B40*$D$2),"---")</f>
        <v>---</v>
      </c>
      <c r="C18" s="30" t="str">
        <f t="shared" ca="1" si="6"/>
        <v>---</v>
      </c>
      <c r="D18" s="30" t="str">
        <f t="shared" ca="1" si="6"/>
        <v>---</v>
      </c>
      <c r="E18" s="30" t="str">
        <f t="shared" ca="1" si="6"/>
        <v>---</v>
      </c>
      <c r="F18" s="30" t="str">
        <f t="shared" ca="1" si="6"/>
        <v>---</v>
      </c>
      <c r="G18" s="30" t="str">
        <f t="shared" ca="1" si="6"/>
        <v>---</v>
      </c>
      <c r="H18" s="30" t="str">
        <f t="shared" ca="1" si="6"/>
        <v>---</v>
      </c>
      <c r="I18" s="30" t="str">
        <f t="shared" ca="1" si="6"/>
        <v>---</v>
      </c>
      <c r="J18" s="30" t="str">
        <f t="shared" ca="1" si="6"/>
        <v>---</v>
      </c>
      <c r="K18" s="30" t="str">
        <f t="shared" ca="1" si="6"/>
        <v>---</v>
      </c>
      <c r="L18" s="30" t="str">
        <f t="shared" ca="1" si="6"/>
        <v>---</v>
      </c>
      <c r="M18" s="30" t="str">
        <f t="shared" ca="1" si="6"/>
        <v>---</v>
      </c>
    </row>
    <row r="19" spans="1:13" x14ac:dyDescent="0.25">
      <c r="A19" s="25" t="s">
        <v>55</v>
      </c>
      <c r="B19" s="30" t="str">
        <f t="shared" ref="B19:M19" ca="1" si="7">IF(AND($D$6,ISNUMBER(B52),ISNUMBER(B41)),(B52*$D$3)/(B41*$D$2),"---")</f>
        <v>---</v>
      </c>
      <c r="C19" s="30" t="str">
        <f t="shared" ca="1" si="7"/>
        <v>---</v>
      </c>
      <c r="D19" s="30" t="str">
        <f t="shared" ca="1" si="7"/>
        <v>---</v>
      </c>
      <c r="E19" s="30" t="str">
        <f t="shared" ca="1" si="7"/>
        <v>---</v>
      </c>
      <c r="F19" s="30" t="str">
        <f t="shared" ca="1" si="7"/>
        <v>---</v>
      </c>
      <c r="G19" s="30" t="str">
        <f t="shared" ca="1" si="7"/>
        <v>---</v>
      </c>
      <c r="H19" s="30" t="str">
        <f t="shared" ca="1" si="7"/>
        <v>---</v>
      </c>
      <c r="I19" s="30" t="str">
        <f t="shared" ca="1" si="7"/>
        <v>---</v>
      </c>
      <c r="J19" s="30" t="str">
        <f t="shared" ca="1" si="7"/>
        <v>---</v>
      </c>
      <c r="K19" s="30" t="str">
        <f t="shared" ca="1" si="7"/>
        <v>---</v>
      </c>
      <c r="L19" s="30" t="str">
        <f t="shared" ca="1" si="7"/>
        <v>---</v>
      </c>
      <c r="M19" s="30" t="str">
        <f t="shared" ca="1" si="7"/>
        <v>---</v>
      </c>
    </row>
    <row r="20" spans="1:13" x14ac:dyDescent="0.25">
      <c r="A20" s="2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.75" x14ac:dyDescent="0.25">
      <c r="A21" s="14" t="s">
        <v>92</v>
      </c>
      <c r="B21" s="14"/>
      <c r="C21" s="14"/>
    </row>
    <row r="22" spans="1:13" x14ac:dyDescent="0.25">
      <c r="A22" s="13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3">
        <v>6</v>
      </c>
      <c r="H22" s="33">
        <v>7</v>
      </c>
      <c r="I22" s="33">
        <v>8</v>
      </c>
      <c r="J22" s="33">
        <v>9</v>
      </c>
      <c r="K22" s="33">
        <v>10</v>
      </c>
      <c r="L22" s="33">
        <v>11</v>
      </c>
      <c r="M22" s="33">
        <v>12</v>
      </c>
    </row>
    <row r="23" spans="1:13" x14ac:dyDescent="0.25">
      <c r="A23" s="25" t="s">
        <v>48</v>
      </c>
      <c r="B23" s="30">
        <f ca="1">IF(AND($D$6,ISNUMBER(B34)),B34*$D$2,"---")</f>
        <v>462337194.85417813</v>
      </c>
      <c r="C23" s="30">
        <f t="shared" ref="C23:M23" ca="1" si="8">IF(AND($D$6,ISNUMBER(C34)),C34*$D$2,"---")</f>
        <v>144120687.17979872</v>
      </c>
      <c r="D23" s="30">
        <f t="shared" ca="1" si="8"/>
        <v>69767584.419518203</v>
      </c>
      <c r="E23" s="30">
        <f t="shared" ca="1" si="8"/>
        <v>36037865.617669091</v>
      </c>
      <c r="F23" s="30">
        <f t="shared" ca="1" si="8"/>
        <v>19049905.053234126</v>
      </c>
      <c r="G23" s="30">
        <f t="shared" ca="1" si="8"/>
        <v>8340103.8278294839</v>
      </c>
      <c r="H23" s="30">
        <f t="shared" ca="1" si="8"/>
        <v>4647068.9225175418</v>
      </c>
      <c r="I23" s="30">
        <f t="shared" ca="1" si="8"/>
        <v>1938843.3252887805</v>
      </c>
      <c r="J23" s="30">
        <f t="shared" ca="1" si="8"/>
        <v>954034.01720559213</v>
      </c>
      <c r="K23" s="30">
        <f t="shared" ca="1" si="8"/>
        <v>2554349.1428407724</v>
      </c>
      <c r="L23" s="30">
        <f t="shared" ca="1" si="8"/>
        <v>830932.8536951904</v>
      </c>
      <c r="M23" s="30">
        <f t="shared" ca="1" si="8"/>
        <v>-400078.78140878433</v>
      </c>
    </row>
    <row r="24" spans="1:13" x14ac:dyDescent="0.25">
      <c r="A24" s="25" t="s">
        <v>49</v>
      </c>
      <c r="B24" s="30">
        <f t="shared" ref="B24:M24" ca="1" si="9">IF(AND($D$6,ISNUMBER(B35)),B35*$D$2,"---")</f>
        <v>394016049.10590708</v>
      </c>
      <c r="C24" s="30">
        <f t="shared" ca="1" si="9"/>
        <v>125286209.16270781</v>
      </c>
      <c r="D24" s="30">
        <f t="shared" ca="1" si="9"/>
        <v>107682742.78072086</v>
      </c>
      <c r="E24" s="30">
        <f t="shared" ca="1" si="9"/>
        <v>33945145.837992311</v>
      </c>
      <c r="F24" s="30">
        <f t="shared" ca="1" si="9"/>
        <v>16834084.110046964</v>
      </c>
      <c r="G24" s="30">
        <f t="shared" ca="1" si="9"/>
        <v>8463204.9913398847</v>
      </c>
      <c r="H24" s="30">
        <f t="shared" ca="1" si="9"/>
        <v>4154664.2684759437</v>
      </c>
      <c r="I24" s="30">
        <f t="shared" ca="1" si="9"/>
        <v>1569539.8347575839</v>
      </c>
      <c r="J24" s="30">
        <f t="shared" ca="1" si="9"/>
        <v>1200236.3442263871</v>
      </c>
      <c r="K24" s="30">
        <f t="shared" ca="1" si="9"/>
        <v>2800551.469861567</v>
      </c>
      <c r="L24" s="30">
        <f t="shared" ca="1" si="9"/>
        <v>-523179.94491918606</v>
      </c>
      <c r="M24" s="30">
        <f t="shared" ca="1" si="9"/>
        <v>-276977.61789839109</v>
      </c>
    </row>
    <row r="25" spans="1:13" x14ac:dyDescent="0.25">
      <c r="A25" s="25" t="s">
        <v>50</v>
      </c>
      <c r="B25" s="30">
        <f t="shared" ref="B25:M25" ca="1" si="10">IF(AND($D$6,ISNUMBER(B36)),B36*$D$2,"---")</f>
        <v>392908138.63431352</v>
      </c>
      <c r="C25" s="30">
        <f t="shared" ca="1" si="10"/>
        <v>143997586.01628834</v>
      </c>
      <c r="D25" s="30">
        <f t="shared" ca="1" si="10"/>
        <v>71983405.362705365</v>
      </c>
      <c r="E25" s="30">
        <f t="shared" ca="1" si="10"/>
        <v>34806853.982565105</v>
      </c>
      <c r="F25" s="30">
        <f t="shared" ca="1" si="10"/>
        <v>17818893.418130152</v>
      </c>
      <c r="G25" s="30">
        <f t="shared" ca="1" si="10"/>
        <v>9940418.9534646627</v>
      </c>
      <c r="H25" s="30">
        <f t="shared" ca="1" si="10"/>
        <v>4523967.7590071401</v>
      </c>
      <c r="I25" s="30">
        <f t="shared" ca="1" si="10"/>
        <v>2431247.9793303707</v>
      </c>
      <c r="J25" s="30">
        <f t="shared" ca="1" si="10"/>
        <v>3785360.7779447553</v>
      </c>
      <c r="K25" s="30">
        <f t="shared" ca="1" si="10"/>
        <v>461629.36316400231</v>
      </c>
      <c r="L25" s="30">
        <f t="shared" ca="1" si="10"/>
        <v>954034.01720559213</v>
      </c>
      <c r="M25" s="30">
        <f t="shared" ca="1" si="10"/>
        <v>461629.36316400231</v>
      </c>
    </row>
    <row r="26" spans="1:13" x14ac:dyDescent="0.25">
      <c r="A26" s="25" t="s">
        <v>51</v>
      </c>
      <c r="B26" s="30">
        <f t="shared" ref="B26:M26" ca="1" si="11">IF(AND($D$6,ISNUMBER(B37)),B37*$D$2,"---")</f>
        <v>325694903.35763609</v>
      </c>
      <c r="C26" s="30">
        <f t="shared" ca="1" si="11"/>
        <v>143135877.87171555</v>
      </c>
      <c r="D26" s="30">
        <f t="shared" ca="1" si="11"/>
        <v>71737203.035684571</v>
      </c>
      <c r="E26" s="30">
        <f t="shared" ca="1" si="11"/>
        <v>34929955.146075509</v>
      </c>
      <c r="F26" s="30">
        <f t="shared" ca="1" si="11"/>
        <v>26805278.354389217</v>
      </c>
      <c r="G26" s="30">
        <f t="shared" ca="1" si="11"/>
        <v>11417632.915589442</v>
      </c>
      <c r="H26" s="30">
        <f t="shared" ca="1" si="11"/>
        <v>4523967.7590071401</v>
      </c>
      <c r="I26" s="30">
        <f t="shared" ca="1" si="11"/>
        <v>1692640.9982679856</v>
      </c>
      <c r="J26" s="30">
        <f t="shared" ca="1" si="11"/>
        <v>1200236.3442263871</v>
      </c>
      <c r="K26" s="30">
        <f t="shared" ca="1" si="11"/>
        <v>1077135.180715994</v>
      </c>
      <c r="L26" s="30">
        <f t="shared" ca="1" si="11"/>
        <v>1077135.180715994</v>
      </c>
      <c r="M26" s="30">
        <f t="shared" ca="1" si="11"/>
        <v>215427.03614320734</v>
      </c>
    </row>
    <row r="27" spans="1:13" x14ac:dyDescent="0.25">
      <c r="A27" s="25" t="s">
        <v>52</v>
      </c>
      <c r="B27" s="30">
        <f t="shared" ref="B27:M27" ca="1" si="12">IF(AND($D$6,ISNUMBER(B38)),B38*$D$2,"---")</f>
        <v>10309722.443995859</v>
      </c>
      <c r="C27" s="30">
        <f t="shared" ca="1" si="12"/>
        <v>10309722.443995859</v>
      </c>
      <c r="D27" s="30">
        <f t="shared" ca="1" si="12"/>
        <v>10186621.280485459</v>
      </c>
      <c r="E27" s="30">
        <f t="shared" ca="1" si="12"/>
        <v>10309722.443995859</v>
      </c>
      <c r="F27" s="30">
        <f t="shared" ca="1" si="12"/>
        <v>10432823.607506253</v>
      </c>
      <c r="G27" s="30">
        <f t="shared" ca="1" si="12"/>
        <v>10063520.116975065</v>
      </c>
      <c r="H27" s="30">
        <f t="shared" ca="1" si="12"/>
        <v>10186621.280485459</v>
      </c>
      <c r="I27" s="30">
        <f t="shared" ca="1" si="12"/>
        <v>10309722.443995859</v>
      </c>
      <c r="J27" s="30">
        <f t="shared" ca="1" si="12"/>
        <v>10555924.771016655</v>
      </c>
      <c r="K27" s="30">
        <f t="shared" ca="1" si="12"/>
        <v>11294531.75207904</v>
      </c>
      <c r="L27" s="30">
        <f t="shared" ca="1" si="12"/>
        <v>10186621.280485459</v>
      </c>
      <c r="M27" s="30">
        <f t="shared" ca="1" si="12"/>
        <v>10309722.443995859</v>
      </c>
    </row>
    <row r="28" spans="1:13" x14ac:dyDescent="0.25">
      <c r="A28" s="25" t="s">
        <v>53</v>
      </c>
      <c r="B28" s="30">
        <f t="shared" ref="B28:M28" ca="1" si="13">IF(AND($D$6,ISNUMBER(B39)),B39*$D$2,"---")</f>
        <v>10309722.443995859</v>
      </c>
      <c r="C28" s="30">
        <f t="shared" ca="1" si="13"/>
        <v>10309722.443995859</v>
      </c>
      <c r="D28" s="30">
        <f t="shared" ca="1" si="13"/>
        <v>10186621.280485459</v>
      </c>
      <c r="E28" s="30">
        <f t="shared" ca="1" si="13"/>
        <v>10063520.116975065</v>
      </c>
      <c r="F28" s="30">
        <f t="shared" ca="1" si="13"/>
        <v>10432823.607506253</v>
      </c>
      <c r="G28" s="30">
        <f t="shared" ca="1" si="13"/>
        <v>10186621.280485459</v>
      </c>
      <c r="H28" s="30">
        <f t="shared" ca="1" si="13"/>
        <v>10309722.443995859</v>
      </c>
      <c r="I28" s="30">
        <f t="shared" ca="1" si="13"/>
        <v>10432823.607506253</v>
      </c>
      <c r="J28" s="30">
        <f t="shared" ca="1" si="13"/>
        <v>13017948.041224621</v>
      </c>
      <c r="K28" s="30">
        <f t="shared" ca="1" si="13"/>
        <v>10186621.280485459</v>
      </c>
      <c r="L28" s="30">
        <f t="shared" ca="1" si="13"/>
        <v>10063520.116975065</v>
      </c>
      <c r="M28" s="30">
        <f t="shared" ca="1" si="13"/>
        <v>10063520.116975065</v>
      </c>
    </row>
    <row r="29" spans="1:13" x14ac:dyDescent="0.25">
      <c r="A29" s="25" t="s">
        <v>54</v>
      </c>
      <c r="B29" s="30">
        <f t="shared" ref="B29:M29" ca="1" si="14">IF(AND($D$6,ISNUMBER(B40)),B40*$D$2,"---")</f>
        <v>9448014.2994230743</v>
      </c>
      <c r="C29" s="30">
        <f t="shared" ca="1" si="14"/>
        <v>10063520.116975065</v>
      </c>
      <c r="D29" s="30">
        <f t="shared" ca="1" si="14"/>
        <v>9694216.6264438685</v>
      </c>
      <c r="E29" s="30">
        <f t="shared" ca="1" si="14"/>
        <v>10186621.280485459</v>
      </c>
      <c r="F29" s="30">
        <f t="shared" ca="1" si="14"/>
        <v>10555924.771016655</v>
      </c>
      <c r="G29" s="30">
        <f t="shared" ca="1" si="14"/>
        <v>9940418.9534646627</v>
      </c>
      <c r="H29" s="30">
        <f t="shared" ca="1" si="14"/>
        <v>10186621.280485459</v>
      </c>
      <c r="I29" s="30">
        <f t="shared" ca="1" si="14"/>
        <v>9940418.9534646627</v>
      </c>
      <c r="J29" s="30">
        <f t="shared" ca="1" si="14"/>
        <v>10925228.261547852</v>
      </c>
      <c r="K29" s="30">
        <f t="shared" ca="1" si="14"/>
        <v>10063520.116975065</v>
      </c>
      <c r="L29" s="30">
        <f t="shared" ca="1" si="14"/>
        <v>9694216.6264438685</v>
      </c>
      <c r="M29" s="30">
        <f t="shared" ca="1" si="14"/>
        <v>9817317.7899542619</v>
      </c>
    </row>
    <row r="30" spans="1:13" x14ac:dyDescent="0.25">
      <c r="A30" s="25" t="s">
        <v>55</v>
      </c>
      <c r="B30" s="30">
        <f t="shared" ref="B30:M30" ca="1" si="15">IF(AND($D$6,ISNUMBER(B41)),B41*$D$2,"---")</f>
        <v>9817317.7899542619</v>
      </c>
      <c r="C30" s="30">
        <f t="shared" ca="1" si="15"/>
        <v>10679025.934527049</v>
      </c>
      <c r="D30" s="30">
        <f t="shared" ca="1" si="15"/>
        <v>10925228.261547852</v>
      </c>
      <c r="E30" s="30">
        <f t="shared" ca="1" si="15"/>
        <v>9694216.6264438685</v>
      </c>
      <c r="F30" s="30">
        <f t="shared" ca="1" si="15"/>
        <v>9817317.7899542619</v>
      </c>
      <c r="G30" s="30">
        <f t="shared" ca="1" si="15"/>
        <v>10186621.280485459</v>
      </c>
      <c r="H30" s="30">
        <f t="shared" ca="1" si="15"/>
        <v>10432823.607506253</v>
      </c>
      <c r="I30" s="30">
        <f t="shared" ca="1" si="15"/>
        <v>9817317.7899542619</v>
      </c>
      <c r="J30" s="30">
        <f t="shared" ca="1" si="15"/>
        <v>9940418.9534646627</v>
      </c>
      <c r="K30" s="30">
        <f t="shared" ca="1" si="15"/>
        <v>10432823.607506253</v>
      </c>
      <c r="L30" s="30">
        <f t="shared" ca="1" si="15"/>
        <v>10063520.116975065</v>
      </c>
      <c r="M30" s="30">
        <f t="shared" ca="1" si="15"/>
        <v>10186621.280485459</v>
      </c>
    </row>
    <row r="32" spans="1:13" ht="15.75" x14ac:dyDescent="0.25">
      <c r="A32" s="14" t="s">
        <v>29</v>
      </c>
    </row>
    <row r="33" spans="1:13" x14ac:dyDescent="0.25">
      <c r="A33" s="13"/>
      <c r="B33" s="33">
        <v>1</v>
      </c>
      <c r="C33" s="33">
        <v>2</v>
      </c>
      <c r="D33" s="33">
        <v>3</v>
      </c>
      <c r="E33" s="33">
        <v>4</v>
      </c>
      <c r="F33" s="33">
        <v>5</v>
      </c>
      <c r="G33" s="33">
        <v>6</v>
      </c>
      <c r="H33" s="33">
        <v>7</v>
      </c>
      <c r="I33" s="33">
        <v>8</v>
      </c>
      <c r="J33" s="33">
        <v>9</v>
      </c>
      <c r="K33" s="33">
        <v>10</v>
      </c>
      <c r="L33" s="33">
        <v>11</v>
      </c>
      <c r="M33" s="33">
        <v>12</v>
      </c>
    </row>
    <row r="34" spans="1:13" x14ac:dyDescent="0.25">
      <c r="A34" s="25" t="s">
        <v>48</v>
      </c>
      <c r="B34" s="17">
        <f ca="1">IF(ISNUMBER('Raw Plate Reader Measurements'!B12),'Raw Plate Reader Measurements'!B12-$D$4,"---")</f>
        <v>0.37557499999999999</v>
      </c>
      <c r="C34" s="17">
        <f ca="1">IF(ISNUMBER('Raw Plate Reader Measurements'!C12),'Raw Plate Reader Measurements'!C12-$D$4,"---")</f>
        <v>0.117075</v>
      </c>
      <c r="D34" s="17">
        <f ca="1">IF(ISNUMBER('Raw Plate Reader Measurements'!D12),'Raw Plate Reader Measurements'!D12-$D$4,"---")</f>
        <v>5.6675000000000003E-2</v>
      </c>
      <c r="E34" s="17">
        <f ca="1">IF(ISNUMBER('Raw Plate Reader Measurements'!E12),'Raw Plate Reader Measurements'!E12-$D$4,"---")</f>
        <v>2.9275000000000009E-2</v>
      </c>
      <c r="F34" s="17">
        <f ca="1">IF(ISNUMBER('Raw Plate Reader Measurements'!F12),'Raw Plate Reader Measurements'!F12-$D$4,"---")</f>
        <v>1.5475000000000003E-2</v>
      </c>
      <c r="G34" s="17">
        <f ca="1">IF(ISNUMBER('Raw Plate Reader Measurements'!G12),'Raw Plate Reader Measurements'!G12-$D$4,"---")</f>
        <v>6.7750000000000032E-3</v>
      </c>
      <c r="H34" s="17">
        <f ca="1">IF(ISNUMBER('Raw Plate Reader Measurements'!H12),'Raw Plate Reader Measurements'!H12-$D$4,"---")</f>
        <v>3.7750000000000075E-3</v>
      </c>
      <c r="I34" s="17">
        <f ca="1">IF(ISNUMBER('Raw Plate Reader Measurements'!I12),'Raw Plate Reader Measurements'!I12-$D$4,"---")</f>
        <v>1.5750000000000069E-3</v>
      </c>
      <c r="J34" s="17">
        <f ca="1">IF(ISNUMBER('Raw Plate Reader Measurements'!J12),'Raw Plate Reader Measurements'!J12-$D$4,"---")</f>
        <v>7.7500000000000485E-4</v>
      </c>
      <c r="K34" s="17">
        <f ca="1">IF(ISNUMBER('Raw Plate Reader Measurements'!K12),'Raw Plate Reader Measurements'!K12-$D$4,"---")</f>
        <v>2.0750000000000074E-3</v>
      </c>
      <c r="L34" s="17">
        <f ca="1">IF(ISNUMBER('Raw Plate Reader Measurements'!L12),'Raw Plate Reader Measurements'!L12-$D$4,"---")</f>
        <v>6.7500000000000199E-4</v>
      </c>
      <c r="M34" s="17">
        <f ca="1">IF(ISNUMBER('Raw Plate Reader Measurements'!M12),'Raw Plate Reader Measurements'!M12-$D$4,"---")</f>
        <v>-3.2499999999999196E-4</v>
      </c>
    </row>
    <row r="35" spans="1:13" x14ac:dyDescent="0.25">
      <c r="A35" s="25" t="s">
        <v>49</v>
      </c>
      <c r="B35" s="17">
        <f ca="1">IF(ISNUMBER('Raw Plate Reader Measurements'!B13),'Raw Plate Reader Measurements'!B13-$D$4,"---")</f>
        <v>0.320075</v>
      </c>
      <c r="C35" s="17">
        <f ca="1">IF(ISNUMBER('Raw Plate Reader Measurements'!C13),'Raw Plate Reader Measurements'!C13-$D$4,"---")</f>
        <v>0.10177500000000002</v>
      </c>
      <c r="D35" s="17">
        <f ca="1">IF(ISNUMBER('Raw Plate Reader Measurements'!D13),'Raw Plate Reader Measurements'!D13-$D$4,"---")</f>
        <v>8.7475000000000011E-2</v>
      </c>
      <c r="E35" s="17">
        <f ca="1">IF(ISNUMBER('Raw Plate Reader Measurements'!E13),'Raw Plate Reader Measurements'!E13-$D$4,"---")</f>
        <v>2.7575000000000002E-2</v>
      </c>
      <c r="F35" s="17">
        <f ca="1">IF(ISNUMBER('Raw Plate Reader Measurements'!F13),'Raw Plate Reader Measurements'!F13-$D$4,"---")</f>
        <v>1.3675000000000007E-2</v>
      </c>
      <c r="G35" s="17">
        <f ca="1">IF(ISNUMBER('Raw Plate Reader Measurements'!G13),'Raw Plate Reader Measurements'!G13-$D$4,"---")</f>
        <v>6.8750000000000061E-3</v>
      </c>
      <c r="H35" s="17">
        <f ca="1">IF(ISNUMBER('Raw Plate Reader Measurements'!H13),'Raw Plate Reader Measurements'!H13-$D$4,"---")</f>
        <v>3.375000000000003E-3</v>
      </c>
      <c r="I35" s="17">
        <f ca="1">IF(ISNUMBER('Raw Plate Reader Measurements'!I13),'Raw Plate Reader Measurements'!I13-$D$4,"---")</f>
        <v>1.2750000000000053E-3</v>
      </c>
      <c r="J35" s="17">
        <f ca="1">IF(ISNUMBER('Raw Plate Reader Measurements'!J13),'Raw Plate Reader Measurements'!J13-$D$4,"---")</f>
        <v>9.7500000000000364E-4</v>
      </c>
      <c r="K35" s="17">
        <f ca="1">IF(ISNUMBER('Raw Plate Reader Measurements'!K13),'Raw Plate Reader Measurements'!K13-$D$4,"---")</f>
        <v>2.2750000000000062E-3</v>
      </c>
      <c r="L35" s="17">
        <f ca="1">IF(ISNUMBER('Raw Plate Reader Measurements'!L13),'Raw Plate Reader Measurements'!L13-$D$4,"---")</f>
        <v>-4.2499999999999483E-4</v>
      </c>
      <c r="M35" s="17">
        <f ca="1">IF(ISNUMBER('Raw Plate Reader Measurements'!M13),'Raw Plate Reader Measurements'!M13-$D$4,"---")</f>
        <v>-2.2499999999999604E-4</v>
      </c>
    </row>
    <row r="36" spans="1:13" x14ac:dyDescent="0.25">
      <c r="A36" s="25" t="s">
        <v>50</v>
      </c>
      <c r="B36" s="17">
        <f ca="1">IF(ISNUMBER('Raw Plate Reader Measurements'!B14),'Raw Plate Reader Measurements'!B14-$D$4,"---")</f>
        <v>0.31917499999999999</v>
      </c>
      <c r="C36" s="17">
        <f ca="1">IF(ISNUMBER('Raw Plate Reader Measurements'!C14),'Raw Plate Reader Measurements'!C14-$D$4,"---")</f>
        <v>0.11697500000000001</v>
      </c>
      <c r="D36" s="17">
        <f ca="1">IF(ISNUMBER('Raw Plate Reader Measurements'!D14),'Raw Plate Reader Measurements'!D14-$D$4,"---")</f>
        <v>5.8474999999999999E-2</v>
      </c>
      <c r="E36" s="17">
        <f ca="1">IF(ISNUMBER('Raw Plate Reader Measurements'!E14),'Raw Plate Reader Measurements'!E14-$D$4,"---")</f>
        <v>2.8275000000000008E-2</v>
      </c>
      <c r="F36" s="17">
        <f ca="1">IF(ISNUMBER('Raw Plate Reader Measurements'!F14),'Raw Plate Reader Measurements'!F14-$D$4,"---")</f>
        <v>1.4475000000000009E-2</v>
      </c>
      <c r="G36" s="17">
        <f ca="1">IF(ISNUMBER('Raw Plate Reader Measurements'!G14),'Raw Plate Reader Measurements'!G14-$D$4,"---")</f>
        <v>8.0750000000000058E-3</v>
      </c>
      <c r="H36" s="17">
        <f ca="1">IF(ISNUMBER('Raw Plate Reader Measurements'!H14),'Raw Plate Reader Measurements'!H14-$D$4,"---")</f>
        <v>3.6750000000000047E-3</v>
      </c>
      <c r="I36" s="17">
        <f ca="1">IF(ISNUMBER('Raw Plate Reader Measurements'!I14),'Raw Plate Reader Measurements'!I14-$D$4,"---")</f>
        <v>1.9750000000000045E-3</v>
      </c>
      <c r="J36" s="17">
        <f ca="1">IF(ISNUMBER('Raw Plate Reader Measurements'!J14),'Raw Plate Reader Measurements'!J14-$D$4,"---")</f>
        <v>3.0750000000000083E-3</v>
      </c>
      <c r="K36" s="17">
        <f ca="1">IF(ISNUMBER('Raw Plate Reader Measurements'!K14),'Raw Plate Reader Measurements'!K14-$D$4,"---")</f>
        <v>3.7500000000000727E-4</v>
      </c>
      <c r="L36" s="17">
        <f ca="1">IF(ISNUMBER('Raw Plate Reader Measurements'!L14),'Raw Plate Reader Measurements'!L14-$D$4,"---")</f>
        <v>7.7500000000000485E-4</v>
      </c>
      <c r="M36" s="17">
        <f ca="1">IF(ISNUMBER('Raw Plate Reader Measurements'!M14),'Raw Plate Reader Measurements'!M14-$D$4,"---")</f>
        <v>3.7500000000000727E-4</v>
      </c>
    </row>
    <row r="37" spans="1:13" x14ac:dyDescent="0.25">
      <c r="A37" s="25" t="s">
        <v>51</v>
      </c>
      <c r="B37" s="17">
        <f ca="1">IF(ISNUMBER('Raw Plate Reader Measurements'!B15),'Raw Plate Reader Measurements'!B15-$D$4,"---")</f>
        <v>0.264575</v>
      </c>
      <c r="C37" s="17">
        <f ca="1">IF(ISNUMBER('Raw Plate Reader Measurements'!C15),'Raw Plate Reader Measurements'!C15-$D$4,"---")</f>
        <v>0.116275</v>
      </c>
      <c r="D37" s="17">
        <f ca="1">IF(ISNUMBER('Raw Plate Reader Measurements'!D15),'Raw Plate Reader Measurements'!D15-$D$4,"---")</f>
        <v>5.8275000000000007E-2</v>
      </c>
      <c r="E37" s="17">
        <f ca="1">IF(ISNUMBER('Raw Plate Reader Measurements'!E15),'Raw Plate Reader Measurements'!E15-$D$4,"---")</f>
        <v>2.8375000000000011E-2</v>
      </c>
      <c r="F37" s="17">
        <f ca="1">IF(ISNUMBER('Raw Plate Reader Measurements'!F15),'Raw Plate Reader Measurements'!F15-$D$4,"---")</f>
        <v>2.1775000000000003E-2</v>
      </c>
      <c r="G37" s="17">
        <f ca="1">IF(ISNUMBER('Raw Plate Reader Measurements'!G15),'Raw Plate Reader Measurements'!G15-$D$4,"---")</f>
        <v>9.2750000000000055E-3</v>
      </c>
      <c r="H37" s="17">
        <f ca="1">IF(ISNUMBER('Raw Plate Reader Measurements'!H15),'Raw Plate Reader Measurements'!H15-$D$4,"---")</f>
        <v>3.6750000000000047E-3</v>
      </c>
      <c r="I37" s="17">
        <f ca="1">IF(ISNUMBER('Raw Plate Reader Measurements'!I15),'Raw Plate Reader Measurements'!I15-$D$4,"---")</f>
        <v>1.3750000000000082E-3</v>
      </c>
      <c r="J37" s="17">
        <f ca="1">IF(ISNUMBER('Raw Plate Reader Measurements'!J15),'Raw Plate Reader Measurements'!J15-$D$4,"---")</f>
        <v>9.7500000000000364E-4</v>
      </c>
      <c r="K37" s="17">
        <f ca="1">IF(ISNUMBER('Raw Plate Reader Measurements'!K15),'Raw Plate Reader Measurements'!K15-$D$4,"---")</f>
        <v>8.7500000000000772E-4</v>
      </c>
      <c r="L37" s="17">
        <f ca="1">IF(ISNUMBER('Raw Plate Reader Measurements'!L15),'Raw Plate Reader Measurements'!L15-$D$4,"---")</f>
        <v>8.7500000000000772E-4</v>
      </c>
      <c r="M37" s="17">
        <f ca="1">IF(ISNUMBER('Raw Plate Reader Measurements'!M15),'Raw Plate Reader Measurements'!M15-$D$4,"---")</f>
        <v>1.7500000000000848E-4</v>
      </c>
    </row>
    <row r="38" spans="1:13" x14ac:dyDescent="0.25">
      <c r="A38" s="25" t="s">
        <v>52</v>
      </c>
      <c r="B38" s="17">
        <f ca="1">IF(ISNUMBER('Raw Plate Reader Measurements'!B16),'Raw Plate Reader Measurements'!B16-$D$4,"---")</f>
        <v>8.3750000000000074E-3</v>
      </c>
      <c r="C38" s="17">
        <f ca="1">IF(ISNUMBER('Raw Plate Reader Measurements'!C16),'Raw Plate Reader Measurements'!C16-$D$4,"---")</f>
        <v>8.3750000000000074E-3</v>
      </c>
      <c r="D38" s="17">
        <f ca="1">IF(ISNUMBER('Raw Plate Reader Measurements'!D16),'Raw Plate Reader Measurements'!D16-$D$4,"---")</f>
        <v>8.2750000000000046E-3</v>
      </c>
      <c r="E38" s="17">
        <f ca="1">IF(ISNUMBER('Raw Plate Reader Measurements'!E16),'Raw Plate Reader Measurements'!E16-$D$4,"---")</f>
        <v>8.3750000000000074E-3</v>
      </c>
      <c r="F38" s="17">
        <f ca="1">IF(ISNUMBER('Raw Plate Reader Measurements'!F16),'Raw Plate Reader Measurements'!F16-$D$4,"---")</f>
        <v>8.4750000000000034E-3</v>
      </c>
      <c r="G38" s="17">
        <f ca="1">IF(ISNUMBER('Raw Plate Reader Measurements'!G16),'Raw Plate Reader Measurements'!G16-$D$4,"---")</f>
        <v>8.1750000000000086E-3</v>
      </c>
      <c r="H38" s="17">
        <f ca="1">IF(ISNUMBER('Raw Plate Reader Measurements'!H16),'Raw Plate Reader Measurements'!H16-$D$4,"---")</f>
        <v>8.2750000000000046E-3</v>
      </c>
      <c r="I38" s="17">
        <f ca="1">IF(ISNUMBER('Raw Plate Reader Measurements'!I16),'Raw Plate Reader Measurements'!I16-$D$4,"---")</f>
        <v>8.3750000000000074E-3</v>
      </c>
      <c r="J38" s="17">
        <f ca="1">IF(ISNUMBER('Raw Plate Reader Measurements'!J16),'Raw Plate Reader Measurements'!J16-$D$4,"---")</f>
        <v>8.5750000000000062E-3</v>
      </c>
      <c r="K38" s="17">
        <f ca="1">IF(ISNUMBER('Raw Plate Reader Measurements'!K16),'Raw Plate Reader Measurements'!K16-$D$4,"---")</f>
        <v>9.1750000000000026E-3</v>
      </c>
      <c r="L38" s="17">
        <f ca="1">IF(ISNUMBER('Raw Plate Reader Measurements'!L16),'Raw Plate Reader Measurements'!L16-$D$4,"---")</f>
        <v>8.2750000000000046E-3</v>
      </c>
      <c r="M38" s="17">
        <f ca="1">IF(ISNUMBER('Raw Plate Reader Measurements'!M16),'Raw Plate Reader Measurements'!M16-$D$4,"---")</f>
        <v>8.3750000000000074E-3</v>
      </c>
    </row>
    <row r="39" spans="1:13" x14ac:dyDescent="0.25">
      <c r="A39" s="25" t="s">
        <v>53</v>
      </c>
      <c r="B39" s="17">
        <f ca="1">IF(ISNUMBER('Raw Plate Reader Measurements'!B17),'Raw Plate Reader Measurements'!B17-$D$4,"---")</f>
        <v>8.3750000000000074E-3</v>
      </c>
      <c r="C39" s="17">
        <f ca="1">IF(ISNUMBER('Raw Plate Reader Measurements'!C17),'Raw Plate Reader Measurements'!C17-$D$4,"---")</f>
        <v>8.3750000000000074E-3</v>
      </c>
      <c r="D39" s="17">
        <f ca="1">IF(ISNUMBER('Raw Plate Reader Measurements'!D17),'Raw Plate Reader Measurements'!D17-$D$4,"---")</f>
        <v>8.2750000000000046E-3</v>
      </c>
      <c r="E39" s="17">
        <f ca="1">IF(ISNUMBER('Raw Plate Reader Measurements'!E17),'Raw Plate Reader Measurements'!E17-$D$4,"---")</f>
        <v>8.1750000000000086E-3</v>
      </c>
      <c r="F39" s="17">
        <f ca="1">IF(ISNUMBER('Raw Plate Reader Measurements'!F17),'Raw Plate Reader Measurements'!F17-$D$4,"---")</f>
        <v>8.4750000000000034E-3</v>
      </c>
      <c r="G39" s="17">
        <f ca="1">IF(ISNUMBER('Raw Plate Reader Measurements'!G17),'Raw Plate Reader Measurements'!G17-$D$4,"---")</f>
        <v>8.2750000000000046E-3</v>
      </c>
      <c r="H39" s="17">
        <f ca="1">IF(ISNUMBER('Raw Plate Reader Measurements'!H17),'Raw Plate Reader Measurements'!H17-$D$4,"---")</f>
        <v>8.3750000000000074E-3</v>
      </c>
      <c r="I39" s="17">
        <f ca="1">IF(ISNUMBER('Raw Plate Reader Measurements'!I17),'Raw Plate Reader Measurements'!I17-$D$4,"---")</f>
        <v>8.4750000000000034E-3</v>
      </c>
      <c r="J39" s="17">
        <f ca="1">IF(ISNUMBER('Raw Plate Reader Measurements'!J17),'Raw Plate Reader Measurements'!J17-$D$4,"---")</f>
        <v>1.0575000000000008E-2</v>
      </c>
      <c r="K39" s="17">
        <f ca="1">IF(ISNUMBER('Raw Plate Reader Measurements'!K17),'Raw Plate Reader Measurements'!K17-$D$4,"---")</f>
        <v>8.2750000000000046E-3</v>
      </c>
      <c r="L39" s="17">
        <f ca="1">IF(ISNUMBER('Raw Plate Reader Measurements'!L17),'Raw Plate Reader Measurements'!L17-$D$4,"---")</f>
        <v>8.1750000000000086E-3</v>
      </c>
      <c r="M39" s="17">
        <f ca="1">IF(ISNUMBER('Raw Plate Reader Measurements'!M17),'Raw Plate Reader Measurements'!M17-$D$4,"---")</f>
        <v>8.1750000000000086E-3</v>
      </c>
    </row>
    <row r="40" spans="1:13" x14ac:dyDescent="0.25">
      <c r="A40" s="25" t="s">
        <v>54</v>
      </c>
      <c r="B40" s="17">
        <f ca="1">IF(ISNUMBER('Raw Plate Reader Measurements'!B18),'Raw Plate Reader Measurements'!B18-$D$4,"---")</f>
        <v>7.6750000000000082E-3</v>
      </c>
      <c r="C40" s="17">
        <f ca="1">IF(ISNUMBER('Raw Plate Reader Measurements'!C18),'Raw Plate Reader Measurements'!C18-$D$4,"---")</f>
        <v>8.1750000000000086E-3</v>
      </c>
      <c r="D40" s="17">
        <f ca="1">IF(ISNUMBER('Raw Plate Reader Measurements'!D18),'Raw Plate Reader Measurements'!D18-$D$4,"---")</f>
        <v>7.875000000000007E-3</v>
      </c>
      <c r="E40" s="17">
        <f ca="1">IF(ISNUMBER('Raw Plate Reader Measurements'!E18),'Raw Plate Reader Measurements'!E18-$D$4,"---")</f>
        <v>8.2750000000000046E-3</v>
      </c>
      <c r="F40" s="17">
        <f ca="1">IF(ISNUMBER('Raw Plate Reader Measurements'!F18),'Raw Plate Reader Measurements'!F18-$D$4,"---")</f>
        <v>8.5750000000000062E-3</v>
      </c>
      <c r="G40" s="17">
        <f ca="1">IF(ISNUMBER('Raw Plate Reader Measurements'!G18),'Raw Plate Reader Measurements'!G18-$D$4,"---")</f>
        <v>8.0750000000000058E-3</v>
      </c>
      <c r="H40" s="17">
        <f ca="1">IF(ISNUMBER('Raw Plate Reader Measurements'!H18),'Raw Plate Reader Measurements'!H18-$D$4,"---")</f>
        <v>8.2750000000000046E-3</v>
      </c>
      <c r="I40" s="17">
        <f ca="1">IF(ISNUMBER('Raw Plate Reader Measurements'!I18),'Raw Plate Reader Measurements'!I18-$D$4,"---")</f>
        <v>8.0750000000000058E-3</v>
      </c>
      <c r="J40" s="17">
        <f ca="1">IF(ISNUMBER('Raw Plate Reader Measurements'!J18),'Raw Plate Reader Measurements'!J18-$D$4,"---")</f>
        <v>8.8750000000000079E-3</v>
      </c>
      <c r="K40" s="17">
        <f ca="1">IF(ISNUMBER('Raw Plate Reader Measurements'!K18),'Raw Plate Reader Measurements'!K18-$D$4,"---")</f>
        <v>8.1750000000000086E-3</v>
      </c>
      <c r="L40" s="17">
        <f ca="1">IF(ISNUMBER('Raw Plate Reader Measurements'!L18),'Raw Plate Reader Measurements'!L18-$D$4,"---")</f>
        <v>7.875000000000007E-3</v>
      </c>
      <c r="M40" s="17">
        <f ca="1">IF(ISNUMBER('Raw Plate Reader Measurements'!M18),'Raw Plate Reader Measurements'!M18-$D$4,"---")</f>
        <v>7.9750000000000029E-3</v>
      </c>
    </row>
    <row r="41" spans="1:13" x14ac:dyDescent="0.25">
      <c r="A41" s="25" t="s">
        <v>55</v>
      </c>
      <c r="B41" s="17">
        <f ca="1">IF(ISNUMBER('Raw Plate Reader Measurements'!B19),'Raw Plate Reader Measurements'!B19-$D$4,"---")</f>
        <v>7.9750000000000029E-3</v>
      </c>
      <c r="C41" s="17">
        <f ca="1">IF(ISNUMBER('Raw Plate Reader Measurements'!C19),'Raw Plate Reader Measurements'!C19-$D$4,"---")</f>
        <v>8.6750000000000022E-3</v>
      </c>
      <c r="D41" s="17">
        <f ca="1">IF(ISNUMBER('Raw Plate Reader Measurements'!D19),'Raw Plate Reader Measurements'!D19-$D$4,"---")</f>
        <v>8.8750000000000079E-3</v>
      </c>
      <c r="E41" s="17">
        <f ca="1">IF(ISNUMBER('Raw Plate Reader Measurements'!E19),'Raw Plate Reader Measurements'!E19-$D$4,"---")</f>
        <v>7.875000000000007E-3</v>
      </c>
      <c r="F41" s="17">
        <f ca="1">IF(ISNUMBER('Raw Plate Reader Measurements'!F19),'Raw Plate Reader Measurements'!F19-$D$4,"---")</f>
        <v>7.9750000000000029E-3</v>
      </c>
      <c r="G41" s="17">
        <f ca="1">IF(ISNUMBER('Raw Plate Reader Measurements'!G19),'Raw Plate Reader Measurements'!G19-$D$4,"---")</f>
        <v>8.2750000000000046E-3</v>
      </c>
      <c r="H41" s="17">
        <f ca="1">IF(ISNUMBER('Raw Plate Reader Measurements'!H19),'Raw Plate Reader Measurements'!H19-$D$4,"---")</f>
        <v>8.4750000000000034E-3</v>
      </c>
      <c r="I41" s="17">
        <f ca="1">IF(ISNUMBER('Raw Plate Reader Measurements'!I19),'Raw Plate Reader Measurements'!I19-$D$4,"---")</f>
        <v>7.9750000000000029E-3</v>
      </c>
      <c r="J41" s="17">
        <f ca="1">IF(ISNUMBER('Raw Plate Reader Measurements'!J19),'Raw Plate Reader Measurements'!J19-$D$4,"---")</f>
        <v>8.0750000000000058E-3</v>
      </c>
      <c r="K41" s="17">
        <f ca="1">IF(ISNUMBER('Raw Plate Reader Measurements'!K19),'Raw Plate Reader Measurements'!K19-$D$4,"---")</f>
        <v>8.4750000000000034E-3</v>
      </c>
      <c r="L41" s="17">
        <f ca="1">IF(ISNUMBER('Raw Plate Reader Measurements'!L19),'Raw Plate Reader Measurements'!L19-$D$4,"---")</f>
        <v>8.1750000000000086E-3</v>
      </c>
      <c r="M41" s="17">
        <f ca="1">IF(ISNUMBER('Raw Plate Reader Measurements'!M19),'Raw Plate Reader Measurements'!M19-$D$4,"---")</f>
        <v>8.2750000000000046E-3</v>
      </c>
    </row>
    <row r="43" spans="1:13" ht="15.75" x14ac:dyDescent="0.25">
      <c r="A43" s="15" t="s">
        <v>30</v>
      </c>
    </row>
    <row r="44" spans="1:13" x14ac:dyDescent="0.25">
      <c r="A44" s="1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</row>
    <row r="45" spans="1:13" x14ac:dyDescent="0.25">
      <c r="A45" s="25" t="s">
        <v>48</v>
      </c>
      <c r="B45" s="30">
        <f ca="1">IF(ISNUMBER('Raw Plate Reader Measurements'!B24),'Raw Plate Reader Measurements'!B24-$D$5,"---")</f>
        <v>4.4467212574200001</v>
      </c>
      <c r="C45" s="30">
        <f ca="1">IF(ISNUMBER('Raw Plate Reader Measurements'!C24),'Raw Plate Reader Measurements'!C24-$D$5,"---")</f>
        <v>5.3272106074199996</v>
      </c>
      <c r="D45" s="30">
        <f ca="1">IF(ISNUMBER('Raw Plate Reader Measurements'!D24),'Raw Plate Reader Measurements'!D24-$D$5,"---")</f>
        <v>5.30226916242</v>
      </c>
      <c r="E45" s="30">
        <f ca="1">IF(ISNUMBER('Raw Plate Reader Measurements'!E24),'Raw Plate Reader Measurements'!E24-$D$5,"---")</f>
        <v>4.6674501314199999</v>
      </c>
      <c r="F45" s="30">
        <f ca="1">IF(ISNUMBER('Raw Plate Reader Measurements'!F24),'Raw Plate Reader Measurements'!F24-$D$5,"---")</f>
        <v>3.4621695894200002</v>
      </c>
      <c r="G45" s="30">
        <f ca="1">IF(ISNUMBER('Raw Plate Reader Measurements'!G24),'Raw Plate Reader Measurements'!G24-$D$5,"---")</f>
        <v>2.0850345514199997</v>
      </c>
      <c r="H45" s="30">
        <f ca="1">IF(ISNUMBER('Raw Plate Reader Measurements'!H24),'Raw Plate Reader Measurements'!H24-$D$5,"---")</f>
        <v>1.20259291142</v>
      </c>
      <c r="I45" s="30">
        <f ca="1">IF(ISNUMBER('Raw Plate Reader Measurements'!I24),'Raw Plate Reader Measurements'!I24-$D$5,"---")</f>
        <v>0.55093574712000004</v>
      </c>
      <c r="J45" s="30">
        <f ca="1">IF(ISNUMBER('Raw Plate Reader Measurements'!J24),'Raw Plate Reader Measurements'!J24-$D$5,"---")</f>
        <v>0.28898778741999998</v>
      </c>
      <c r="K45" s="30">
        <f ca="1">IF(ISNUMBER('Raw Plate Reader Measurements'!K24),'Raw Plate Reader Measurements'!K24-$D$5,"---")</f>
        <v>0.12627895362</v>
      </c>
      <c r="L45" s="30">
        <f ca="1">IF(ISNUMBER('Raw Plate Reader Measurements'!L24),'Raw Plate Reader Measurements'!L24-$D$5,"---")</f>
        <v>9.0915115519999978E-2</v>
      </c>
      <c r="M45" s="30">
        <f ca="1">IF(ISNUMBER('Raw Plate Reader Measurements'!M24),'Raw Plate Reader Measurements'!M24-$D$5,"---")</f>
        <v>6.9636540519999984E-2</v>
      </c>
    </row>
    <row r="46" spans="1:13" x14ac:dyDescent="0.25">
      <c r="A46" s="25" t="s">
        <v>49</v>
      </c>
      <c r="B46" s="30">
        <f ca="1">IF(ISNUMBER('Raw Plate Reader Measurements'!B25),'Raw Plate Reader Measurements'!B25-$D$5,"---")</f>
        <v>4.8337308784199999</v>
      </c>
      <c r="C46" s="30">
        <f ca="1">IF(ISNUMBER('Raw Plate Reader Measurements'!C25),'Raw Plate Reader Measurements'!C25-$D$5,"---")</f>
        <v>5.5099565404200002</v>
      </c>
      <c r="D46" s="30">
        <f ca="1">IF(ISNUMBER('Raw Plate Reader Measurements'!D25),'Raw Plate Reader Measurements'!D25-$D$5,"---")</f>
        <v>5.1104738134199996</v>
      </c>
      <c r="E46" s="30">
        <f ca="1">IF(ISNUMBER('Raw Plate Reader Measurements'!E25),'Raw Plate Reader Measurements'!E25-$D$5,"---")</f>
        <v>4.5433093924199994</v>
      </c>
      <c r="F46" s="30">
        <f ca="1">IF(ISNUMBER('Raw Plate Reader Measurements'!F25),'Raw Plate Reader Measurements'!F25-$D$5,"---")</f>
        <v>3.3322009464200004</v>
      </c>
      <c r="G46" s="30">
        <f ca="1">IF(ISNUMBER('Raw Plate Reader Measurements'!G25),'Raw Plate Reader Measurements'!G25-$D$5,"---")</f>
        <v>2.1427323244199998</v>
      </c>
      <c r="H46" s="30">
        <f ca="1">IF(ISNUMBER('Raw Plate Reader Measurements'!H25),'Raw Plate Reader Measurements'!H25-$D$5,"---")</f>
        <v>1.11964684942</v>
      </c>
      <c r="I46" s="30">
        <f ca="1">IF(ISNUMBER('Raw Plate Reader Measurements'!I25),'Raw Plate Reader Measurements'!I25-$D$5,"---")</f>
        <v>0.65650075862000001</v>
      </c>
      <c r="J46" s="30">
        <f ca="1">IF(ISNUMBER('Raw Plate Reader Measurements'!J25),'Raw Plate Reader Measurements'!J25-$D$5,"---")</f>
        <v>0.33282625861999998</v>
      </c>
      <c r="K46" s="30">
        <f ca="1">IF(ISNUMBER('Raw Plate Reader Measurements'!K25),'Raw Plate Reader Measurements'!K25-$D$5,"---")</f>
        <v>0.28253111432</v>
      </c>
      <c r="L46" s="30">
        <f ca="1">IF(ISNUMBER('Raw Plate Reader Measurements'!L25),'Raw Plate Reader Measurements'!L25-$D$5,"---")</f>
        <v>0.14532086441999997</v>
      </c>
      <c r="M46" s="30">
        <f ca="1">IF(ISNUMBER('Raw Plate Reader Measurements'!M25),'Raw Plate Reader Measurements'!M25-$D$5,"---")</f>
        <v>-3.7349415940000005E-2</v>
      </c>
    </row>
    <row r="47" spans="1:13" x14ac:dyDescent="0.25">
      <c r="A47" s="25" t="s">
        <v>50</v>
      </c>
      <c r="B47" s="30">
        <f ca="1">IF(ISNUMBER('Raw Plate Reader Measurements'!B26),'Raw Plate Reader Measurements'!B26-$D$5,"---")</f>
        <v>4.8582660574199998</v>
      </c>
      <c r="C47" s="30">
        <f ca="1">IF(ISNUMBER('Raw Plate Reader Measurements'!C26),'Raw Plate Reader Measurements'!C26-$D$5,"---")</f>
        <v>5.3578850644199996</v>
      </c>
      <c r="D47" s="30">
        <f ca="1">IF(ISNUMBER('Raw Plate Reader Measurements'!D26),'Raw Plate Reader Measurements'!D26-$D$5,"---")</f>
        <v>5.3868996524199995</v>
      </c>
      <c r="E47" s="30">
        <f ca="1">IF(ISNUMBER('Raw Plate Reader Measurements'!E26),'Raw Plate Reader Measurements'!E26-$D$5,"---")</f>
        <v>4.67439049642</v>
      </c>
      <c r="F47" s="30">
        <f ca="1">IF(ISNUMBER('Raw Plate Reader Measurements'!F26),'Raw Plate Reader Measurements'!F26-$D$5,"---")</f>
        <v>3.6403369324200003</v>
      </c>
      <c r="G47" s="30">
        <f ca="1">IF(ISNUMBER('Raw Plate Reader Measurements'!G26),'Raw Plate Reader Measurements'!G26-$D$5,"---")</f>
        <v>2.1935204884199999</v>
      </c>
      <c r="H47" s="30">
        <f ca="1">IF(ISNUMBER('Raw Plate Reader Measurements'!H26),'Raw Plate Reader Measurements'!H26-$D$5,"---")</f>
        <v>1.2450745724200001</v>
      </c>
      <c r="I47" s="30">
        <f ca="1">IF(ISNUMBER('Raw Plate Reader Measurements'!I26),'Raw Plate Reader Measurements'!I26-$D$5,"---")</f>
        <v>0.47312635372</v>
      </c>
      <c r="J47" s="30">
        <f ca="1">IF(ISNUMBER('Raw Plate Reader Measurements'!J26),'Raw Plate Reader Measurements'!J26-$D$5,"---")</f>
        <v>0.32678196022</v>
      </c>
      <c r="K47" s="30">
        <f ca="1">IF(ISNUMBER('Raw Plate Reader Measurements'!K26),'Raw Plate Reader Measurements'!K26-$D$5,"---")</f>
        <v>0.18583345602000001</v>
      </c>
      <c r="L47" s="30">
        <f ca="1">IF(ISNUMBER('Raw Plate Reader Measurements'!L26),'Raw Plate Reader Measurements'!L26-$D$5,"---")</f>
        <v>0.17645108881999999</v>
      </c>
      <c r="M47" s="30">
        <f ca="1">IF(ISNUMBER('Raw Plate Reader Measurements'!M26),'Raw Plate Reader Measurements'!M26-$D$5,"---")</f>
        <v>-3.5578664800000048E-3</v>
      </c>
    </row>
    <row r="48" spans="1:13" x14ac:dyDescent="0.25">
      <c r="A48" s="25" t="s">
        <v>51</v>
      </c>
      <c r="B48" s="30">
        <f ca="1">IF(ISNUMBER('Raw Plate Reader Measurements'!B27),'Raw Plate Reader Measurements'!B27-$D$5,"---")</f>
        <v>5.0917946714199998</v>
      </c>
      <c r="C48" s="30">
        <f ca="1">IF(ISNUMBER('Raw Plate Reader Measurements'!C27),'Raw Plate Reader Measurements'!C27-$D$5,"---")</f>
        <v>5.4829022304199997</v>
      </c>
      <c r="D48" s="30">
        <f ca="1">IF(ISNUMBER('Raw Plate Reader Measurements'!D27),'Raw Plate Reader Measurements'!D27-$D$5,"---")</f>
        <v>5.5277668854200002</v>
      </c>
      <c r="E48" s="30">
        <f ca="1">IF(ISNUMBER('Raw Plate Reader Measurements'!E27),'Raw Plate Reader Measurements'!E27-$D$5,"---")</f>
        <v>4.6116816424199998</v>
      </c>
      <c r="F48" s="30">
        <f ca="1">IF(ISNUMBER('Raw Plate Reader Measurements'!F27),'Raw Plate Reader Measurements'!F27-$D$5,"---")</f>
        <v>2.7186808004199996</v>
      </c>
      <c r="G48" s="30">
        <f ca="1">IF(ISNUMBER('Raw Plate Reader Measurements'!G27),'Raw Plate Reader Measurements'!G27-$D$5,"---")</f>
        <v>1.95176905542</v>
      </c>
      <c r="H48" s="30">
        <f ca="1">IF(ISNUMBER('Raw Plate Reader Measurements'!H27),'Raw Plate Reader Measurements'!H27-$D$5,"---")</f>
        <v>1.1503308434199999</v>
      </c>
      <c r="I48" s="30">
        <f ca="1">IF(ISNUMBER('Raw Plate Reader Measurements'!I27),'Raw Plate Reader Measurements'!I27-$D$5,"---")</f>
        <v>0.64598620121999994</v>
      </c>
      <c r="J48" s="30">
        <f ca="1">IF(ISNUMBER('Raw Plate Reader Measurements'!J27),'Raw Plate Reader Measurements'!J27-$D$5,"---")</f>
        <v>0.37411064092000001</v>
      </c>
      <c r="K48" s="30">
        <f ca="1">IF(ISNUMBER('Raw Plate Reader Measurements'!K27),'Raw Plate Reader Measurements'!K27-$D$5,"---")</f>
        <v>0.15251672451999998</v>
      </c>
      <c r="L48" s="30">
        <f ca="1">IF(ISNUMBER('Raw Plate Reader Measurements'!L27),'Raw Plate Reader Measurements'!L27-$D$5,"---")</f>
        <v>5.3367080119999993E-2</v>
      </c>
      <c r="M48" s="30">
        <f ca="1">IF(ISNUMBER('Raw Plate Reader Measurements'!M27),'Raw Plate Reader Measurements'!M27-$D$5,"---")</f>
        <v>-2.8729258100000016E-2</v>
      </c>
    </row>
    <row r="49" spans="1:13" x14ac:dyDescent="0.25">
      <c r="A49" s="25" t="s">
        <v>52</v>
      </c>
      <c r="B49" s="30" t="str">
        <f>IF(ISNUMBER('Raw Plate Reader Measurements'!B28),'Raw Plate Reader Measurements'!B28-$D$5,"---")</f>
        <v>---</v>
      </c>
      <c r="C49" s="30" t="str">
        <f>IF(ISNUMBER('Raw Plate Reader Measurements'!C28),'Raw Plate Reader Measurements'!C28-$D$5,"---")</f>
        <v>---</v>
      </c>
      <c r="D49" s="30" t="str">
        <f>IF(ISNUMBER('Raw Plate Reader Measurements'!D28),'Raw Plate Reader Measurements'!D28-$D$5,"---")</f>
        <v>---</v>
      </c>
      <c r="E49" s="30" t="str">
        <f>IF(ISNUMBER('Raw Plate Reader Measurements'!E28),'Raw Plate Reader Measurements'!E28-$D$5,"---")</f>
        <v>---</v>
      </c>
      <c r="F49" s="30" t="str">
        <f>IF(ISNUMBER('Raw Plate Reader Measurements'!F28),'Raw Plate Reader Measurements'!F28-$D$5,"---")</f>
        <v>---</v>
      </c>
      <c r="G49" s="30" t="str">
        <f>IF(ISNUMBER('Raw Plate Reader Measurements'!G28),'Raw Plate Reader Measurements'!G28-$D$5,"---")</f>
        <v>---</v>
      </c>
      <c r="H49" s="30" t="str">
        <f>IF(ISNUMBER('Raw Plate Reader Measurements'!H28),'Raw Plate Reader Measurements'!H28-$D$5,"---")</f>
        <v>---</v>
      </c>
      <c r="I49" s="30" t="str">
        <f>IF(ISNUMBER('Raw Plate Reader Measurements'!I28),'Raw Plate Reader Measurements'!I28-$D$5,"---")</f>
        <v>---</v>
      </c>
      <c r="J49" s="30" t="str">
        <f>IF(ISNUMBER('Raw Plate Reader Measurements'!J28),'Raw Plate Reader Measurements'!J28-$D$5,"---")</f>
        <v>---</v>
      </c>
      <c r="K49" s="30" t="str">
        <f>IF(ISNUMBER('Raw Plate Reader Measurements'!K28),'Raw Plate Reader Measurements'!K28-$D$5,"---")</f>
        <v>---</v>
      </c>
      <c r="L49" s="30" t="str">
        <f>IF(ISNUMBER('Raw Plate Reader Measurements'!L28),'Raw Plate Reader Measurements'!L28-$D$5,"---")</f>
        <v>---</v>
      </c>
      <c r="M49" s="30" t="str">
        <f>IF(ISNUMBER('Raw Plate Reader Measurements'!M28),'Raw Plate Reader Measurements'!M28-$D$5,"---")</f>
        <v>---</v>
      </c>
    </row>
    <row r="50" spans="1:13" x14ac:dyDescent="0.25">
      <c r="A50" s="25" t="s">
        <v>53</v>
      </c>
      <c r="B50" s="30" t="str">
        <f>IF(ISNUMBER('Raw Plate Reader Measurements'!B29),'Raw Plate Reader Measurements'!B29-$D$5,"---")</f>
        <v>---</v>
      </c>
      <c r="C50" s="30" t="str">
        <f>IF(ISNUMBER('Raw Plate Reader Measurements'!C29),'Raw Plate Reader Measurements'!C29-$D$5,"---")</f>
        <v>---</v>
      </c>
      <c r="D50" s="30" t="str">
        <f>IF(ISNUMBER('Raw Plate Reader Measurements'!D29),'Raw Plate Reader Measurements'!D29-$D$5,"---")</f>
        <v>---</v>
      </c>
      <c r="E50" s="30" t="str">
        <f>IF(ISNUMBER('Raw Plate Reader Measurements'!E29),'Raw Plate Reader Measurements'!E29-$D$5,"---")</f>
        <v>---</v>
      </c>
      <c r="F50" s="30" t="str">
        <f>IF(ISNUMBER('Raw Plate Reader Measurements'!F29),'Raw Plate Reader Measurements'!F29-$D$5,"---")</f>
        <v>---</v>
      </c>
      <c r="G50" s="30" t="str">
        <f>IF(ISNUMBER('Raw Plate Reader Measurements'!G29),'Raw Plate Reader Measurements'!G29-$D$5,"---")</f>
        <v>---</v>
      </c>
      <c r="H50" s="30" t="str">
        <f>IF(ISNUMBER('Raw Plate Reader Measurements'!H29),'Raw Plate Reader Measurements'!H29-$D$5,"---")</f>
        <v>---</v>
      </c>
      <c r="I50" s="30" t="str">
        <f>IF(ISNUMBER('Raw Plate Reader Measurements'!I29),'Raw Plate Reader Measurements'!I29-$D$5,"---")</f>
        <v>---</v>
      </c>
      <c r="J50" s="30" t="str">
        <f>IF(ISNUMBER('Raw Plate Reader Measurements'!J29),'Raw Plate Reader Measurements'!J29-$D$5,"---")</f>
        <v>---</v>
      </c>
      <c r="K50" s="30" t="str">
        <f>IF(ISNUMBER('Raw Plate Reader Measurements'!K29),'Raw Plate Reader Measurements'!K29-$D$5,"---")</f>
        <v>---</v>
      </c>
      <c r="L50" s="30" t="str">
        <f>IF(ISNUMBER('Raw Plate Reader Measurements'!L29),'Raw Plate Reader Measurements'!L29-$D$5,"---")</f>
        <v>---</v>
      </c>
      <c r="M50" s="30" t="str">
        <f>IF(ISNUMBER('Raw Plate Reader Measurements'!M29),'Raw Plate Reader Measurements'!M29-$D$5,"---")</f>
        <v>---</v>
      </c>
    </row>
    <row r="51" spans="1:13" x14ac:dyDescent="0.25">
      <c r="A51" s="25" t="s">
        <v>54</v>
      </c>
      <c r="B51" s="30" t="str">
        <f>IF(ISNUMBER('Raw Plate Reader Measurements'!B30),'Raw Plate Reader Measurements'!B30-$D$5,"---")</f>
        <v>---</v>
      </c>
      <c r="C51" s="30" t="str">
        <f>IF(ISNUMBER('Raw Plate Reader Measurements'!C30),'Raw Plate Reader Measurements'!C30-$D$5,"---")</f>
        <v>---</v>
      </c>
      <c r="D51" s="30" t="str">
        <f>IF(ISNUMBER('Raw Plate Reader Measurements'!D30),'Raw Plate Reader Measurements'!D30-$D$5,"---")</f>
        <v>---</v>
      </c>
      <c r="E51" s="30" t="str">
        <f>IF(ISNUMBER('Raw Plate Reader Measurements'!E30),'Raw Plate Reader Measurements'!E30-$D$5,"---")</f>
        <v>---</v>
      </c>
      <c r="F51" s="30" t="str">
        <f>IF(ISNUMBER('Raw Plate Reader Measurements'!F30),'Raw Plate Reader Measurements'!F30-$D$5,"---")</f>
        <v>---</v>
      </c>
      <c r="G51" s="30" t="str">
        <f>IF(ISNUMBER('Raw Plate Reader Measurements'!G30),'Raw Plate Reader Measurements'!G30-$D$5,"---")</f>
        <v>---</v>
      </c>
      <c r="H51" s="30" t="str">
        <f>IF(ISNUMBER('Raw Plate Reader Measurements'!H30),'Raw Plate Reader Measurements'!H30-$D$5,"---")</f>
        <v>---</v>
      </c>
      <c r="I51" s="30" t="str">
        <f>IF(ISNUMBER('Raw Plate Reader Measurements'!I30),'Raw Plate Reader Measurements'!I30-$D$5,"---")</f>
        <v>---</v>
      </c>
      <c r="J51" s="30" t="str">
        <f>IF(ISNUMBER('Raw Plate Reader Measurements'!J30),'Raw Plate Reader Measurements'!J30-$D$5,"---")</f>
        <v>---</v>
      </c>
      <c r="K51" s="30" t="str">
        <f>IF(ISNUMBER('Raw Plate Reader Measurements'!K30),'Raw Plate Reader Measurements'!K30-$D$5,"---")</f>
        <v>---</v>
      </c>
      <c r="L51" s="30" t="str">
        <f>IF(ISNUMBER('Raw Plate Reader Measurements'!L30),'Raw Plate Reader Measurements'!L30-$D$5,"---")</f>
        <v>---</v>
      </c>
      <c r="M51" s="30" t="str">
        <f>IF(ISNUMBER('Raw Plate Reader Measurements'!M30),'Raw Plate Reader Measurements'!M30-$D$5,"---")</f>
        <v>---</v>
      </c>
    </row>
    <row r="52" spans="1:13" x14ac:dyDescent="0.25">
      <c r="A52" s="25" t="s">
        <v>55</v>
      </c>
      <c r="B52" s="30" t="str">
        <f>IF(ISNUMBER('Raw Plate Reader Measurements'!B31),'Raw Plate Reader Measurements'!B31-$D$5,"---")</f>
        <v>---</v>
      </c>
      <c r="C52" s="30" t="str">
        <f>IF(ISNUMBER('Raw Plate Reader Measurements'!C31),'Raw Plate Reader Measurements'!C31-$D$5,"---")</f>
        <v>---</v>
      </c>
      <c r="D52" s="30" t="str">
        <f>IF(ISNUMBER('Raw Plate Reader Measurements'!D31),'Raw Plate Reader Measurements'!D31-$D$5,"---")</f>
        <v>---</v>
      </c>
      <c r="E52" s="30" t="str">
        <f>IF(ISNUMBER('Raw Plate Reader Measurements'!E31),'Raw Plate Reader Measurements'!E31-$D$5,"---")</f>
        <v>---</v>
      </c>
      <c r="F52" s="30" t="str">
        <f>IF(ISNUMBER('Raw Plate Reader Measurements'!F31),'Raw Plate Reader Measurements'!F31-$D$5,"---")</f>
        <v>---</v>
      </c>
      <c r="G52" s="30" t="str">
        <f>IF(ISNUMBER('Raw Plate Reader Measurements'!G31),'Raw Plate Reader Measurements'!G31-$D$5,"---")</f>
        <v>---</v>
      </c>
      <c r="H52" s="30" t="str">
        <f>IF(ISNUMBER('Raw Plate Reader Measurements'!H31),'Raw Plate Reader Measurements'!H31-$D$5,"---")</f>
        <v>---</v>
      </c>
      <c r="I52" s="30" t="str">
        <f>IF(ISNUMBER('Raw Plate Reader Measurements'!I31),'Raw Plate Reader Measurements'!I31-$D$5,"---")</f>
        <v>---</v>
      </c>
      <c r="J52" s="30" t="str">
        <f>IF(ISNUMBER('Raw Plate Reader Measurements'!J31),'Raw Plate Reader Measurements'!J31-$D$5,"---")</f>
        <v>---</v>
      </c>
      <c r="K52" s="30" t="str">
        <f>IF(ISNUMBER('Raw Plate Reader Measurements'!K31),'Raw Plate Reader Measurements'!K31-$D$5,"---")</f>
        <v>---</v>
      </c>
      <c r="L52" s="30" t="str">
        <f>IF(ISNUMBER('Raw Plate Reader Measurements'!L31),'Raw Plate Reader Measurements'!L31-$D$5,"---")</f>
        <v>---</v>
      </c>
      <c r="M52" s="30" t="str">
        <f>IF(ISNUMBER('Raw Plate Reader Measurements'!M31),'Raw Plate Reader Measurements'!M31-$D$5,"---")</f>
        <v>---</v>
      </c>
    </row>
  </sheetData>
  <conditionalFormatting sqref="B12:M30">
    <cfRule type="expression" dxfId="0" priority="1">
      <formula>AND(ROW()&gt;=CELL("row",INDIRECT($D$7)),ROW()&lt;=(CELL("row",INDIRECT($D$7))+ROWS(INDIRECT($D$7))-1),COLUMN()&gt;=CELL("col",INDIRECT($D$7)),COLUMN()&lt;=(CELL("col",INDIRECT($D$7))+COLUMNS(INDIRECT($D$7))-1))</formula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Particle standard curve</vt:lpstr>
      <vt:lpstr>Fluorescein standard curve</vt:lpstr>
      <vt:lpstr>Raw Plate Reader Measurements</vt:lpstr>
      <vt:lpstr>Fluorescence per Particle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Mateusz Szewczyk</cp:lastModifiedBy>
  <dcterms:created xsi:type="dcterms:W3CDTF">2016-05-08T16:01:08Z</dcterms:created>
  <dcterms:modified xsi:type="dcterms:W3CDTF">2019-10-19T14:19:41Z</dcterms:modified>
</cp:coreProperties>
</file>